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5-2026\ОЛІМПІАДИ\ІІ етап\ФІЗИКА\остаточні\"/>
    </mc:Choice>
  </mc:AlternateContent>
  <bookViews>
    <workbookView xWindow="0" yWindow="0" windowWidth="19200" windowHeight="6930"/>
  </bookViews>
  <sheets>
    <sheet name="Ответы на форму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H19" i="1"/>
  <c r="F19" i="1"/>
  <c r="I5" i="1"/>
  <c r="H5" i="1"/>
  <c r="F5" i="1"/>
  <c r="I15" i="1"/>
  <c r="H15" i="1"/>
  <c r="F15" i="1"/>
  <c r="H43" i="1"/>
  <c r="F43" i="1"/>
  <c r="I11" i="1"/>
  <c r="H11" i="1"/>
  <c r="F11" i="1"/>
  <c r="I45" i="1"/>
  <c r="H45" i="1"/>
  <c r="F45" i="1"/>
  <c r="I36" i="1"/>
  <c r="H36" i="1"/>
  <c r="F36" i="1"/>
  <c r="I13" i="1"/>
  <c r="H13" i="1"/>
  <c r="F13" i="1"/>
  <c r="H3" i="1"/>
  <c r="I18" i="1"/>
  <c r="H18" i="1"/>
  <c r="F18" i="1"/>
  <c r="I27" i="1"/>
  <c r="H27" i="1"/>
  <c r="F27" i="1"/>
  <c r="I28" i="1"/>
  <c r="H28" i="1"/>
  <c r="F28" i="1"/>
  <c r="I10" i="1"/>
  <c r="H10" i="1"/>
  <c r="F10" i="1"/>
  <c r="I42" i="1"/>
  <c r="H42" i="1"/>
  <c r="F42" i="1"/>
  <c r="I21" i="1"/>
  <c r="H21" i="1"/>
  <c r="F21" i="1"/>
  <c r="I32" i="1"/>
  <c r="H32" i="1"/>
  <c r="F32" i="1"/>
  <c r="I35" i="1"/>
  <c r="H35" i="1"/>
  <c r="F35" i="1"/>
  <c r="I39" i="1"/>
  <c r="H39" i="1"/>
  <c r="F39" i="1"/>
  <c r="I31" i="1"/>
  <c r="H31" i="1"/>
  <c r="F31" i="1"/>
  <c r="I12" i="1"/>
  <c r="H12" i="1"/>
  <c r="F12" i="1"/>
  <c r="I22" i="1"/>
  <c r="H22" i="1"/>
  <c r="F22" i="1"/>
  <c r="I44" i="1"/>
  <c r="H44" i="1"/>
  <c r="F44" i="1"/>
  <c r="I25" i="1"/>
  <c r="H25" i="1"/>
  <c r="F25" i="1"/>
  <c r="I14" i="1"/>
  <c r="H14" i="1"/>
  <c r="F14" i="1"/>
  <c r="I26" i="1"/>
  <c r="H26" i="1"/>
  <c r="F26" i="1"/>
  <c r="I34" i="1"/>
  <c r="H34" i="1"/>
  <c r="F34" i="1"/>
  <c r="H17" i="1"/>
  <c r="F17" i="1"/>
  <c r="I20" i="1"/>
  <c r="H20" i="1"/>
  <c r="F20" i="1"/>
  <c r="I46" i="1"/>
  <c r="H46" i="1"/>
  <c r="F46" i="1"/>
  <c r="I24" i="1"/>
  <c r="H24" i="1"/>
  <c r="F24" i="1"/>
  <c r="I6" i="1"/>
  <c r="H6" i="1"/>
  <c r="F6" i="1"/>
  <c r="I48" i="1"/>
  <c r="H48" i="1"/>
  <c r="F48" i="1"/>
  <c r="I9" i="1"/>
  <c r="H9" i="1"/>
  <c r="F9" i="1"/>
  <c r="H49" i="1"/>
  <c r="F49" i="1"/>
  <c r="I7" i="1"/>
  <c r="H7" i="1"/>
  <c r="F7" i="1"/>
  <c r="H40" i="1"/>
  <c r="F40" i="1"/>
  <c r="I33" i="1"/>
  <c r="H33" i="1"/>
  <c r="F33" i="1"/>
  <c r="I8" i="1"/>
  <c r="F8" i="1"/>
  <c r="I30" i="1"/>
  <c r="H30" i="1"/>
  <c r="F30" i="1"/>
  <c r="I38" i="1"/>
  <c r="H38" i="1"/>
  <c r="F38" i="1"/>
  <c r="I41" i="1"/>
  <c r="H41" i="1"/>
  <c r="F41" i="1"/>
  <c r="I4" i="1"/>
  <c r="H4" i="1"/>
  <c r="F4" i="1"/>
  <c r="I47" i="1"/>
  <c r="H47" i="1"/>
  <c r="F47" i="1"/>
  <c r="I23" i="1"/>
  <c r="H23" i="1"/>
  <c r="F23" i="1"/>
  <c r="I16" i="1"/>
  <c r="H16" i="1"/>
  <c r="F16" i="1"/>
  <c r="I37" i="1"/>
  <c r="H37" i="1"/>
  <c r="F37" i="1"/>
  <c r="J16" i="1" l="1"/>
  <c r="J41" i="1"/>
  <c r="J33" i="1"/>
  <c r="J43" i="1"/>
  <c r="J37" i="1"/>
  <c r="J4" i="1"/>
  <c r="J8" i="1"/>
  <c r="J7" i="1"/>
  <c r="J20" i="1"/>
  <c r="J5" i="1"/>
  <c r="J15" i="1"/>
  <c r="J6" i="1"/>
  <c r="J17" i="1"/>
  <c r="J25" i="1"/>
  <c r="J31" i="1"/>
  <c r="J21" i="1"/>
  <c r="J27" i="1"/>
  <c r="J47" i="1"/>
  <c r="J30" i="1"/>
  <c r="J19" i="1"/>
  <c r="J23" i="1"/>
  <c r="J38" i="1"/>
  <c r="J40" i="1"/>
  <c r="J9" i="1"/>
  <c r="J46" i="1"/>
  <c r="J48" i="1"/>
  <c r="J14" i="1"/>
  <c r="J12" i="1"/>
  <c r="J32" i="1"/>
  <c r="J28" i="1"/>
  <c r="J13" i="1"/>
  <c r="J11" i="1"/>
  <c r="J26" i="1"/>
  <c r="J22" i="1"/>
  <c r="J35" i="1"/>
  <c r="J10" i="1"/>
  <c r="J3" i="1"/>
  <c r="J45" i="1"/>
  <c r="J49" i="1"/>
  <c r="J24" i="1"/>
  <c r="J34" i="1"/>
  <c r="J44" i="1"/>
  <c r="J39" i="1"/>
  <c r="J42" i="1"/>
  <c r="J18" i="1"/>
  <c r="J36" i="1"/>
</calcChain>
</file>

<file path=xl/sharedStrings.xml><?xml version="1.0" encoding="utf-8"?>
<sst xmlns="http://schemas.openxmlformats.org/spreadsheetml/2006/main" count="178" uniqueCount="118">
  <si>
    <t>Сума</t>
  </si>
  <si>
    <t>Авраменко Валерія Олександрівна</t>
  </si>
  <si>
    <t>Антоненко Кіра Дмитрівна</t>
  </si>
  <si>
    <t>Барабаш Олена Юріївна</t>
  </si>
  <si>
    <t>Бондар Владислав Сергійович</t>
  </si>
  <si>
    <t>Борзій Вікторія Володимирівна</t>
  </si>
  <si>
    <t>Брєєв Іван Сергійович</t>
  </si>
  <si>
    <t>Величко Владислав Олегович</t>
  </si>
  <si>
    <t>Габай Поліна Андріївна</t>
  </si>
  <si>
    <t>Гончаренко Олександра Олександрівна</t>
  </si>
  <si>
    <t>Дуніков Назарій Андрійович</t>
  </si>
  <si>
    <t>Жаботинська Анна Романівна</t>
  </si>
  <si>
    <t>Жученко Валерія Віталіївна</t>
  </si>
  <si>
    <t>Замятіна Дамініка Олегівна</t>
  </si>
  <si>
    <t>Іващенко Ілля Юрійович</t>
  </si>
  <si>
    <t>Коломієць Софія Юріївна</t>
  </si>
  <si>
    <t>Коль Едуард Едуардович</t>
  </si>
  <si>
    <t>Компан Олександр Андрійович</t>
  </si>
  <si>
    <t>Коннов Михайло Олександрович</t>
  </si>
  <si>
    <t>Корнюш Олексій Вячеславович</t>
  </si>
  <si>
    <t>Коробов Кирило Сергійович</t>
  </si>
  <si>
    <t>Лебедько Євгеній Дмитрович</t>
  </si>
  <si>
    <t>Лисак Вячеслав Анатолійович</t>
  </si>
  <si>
    <t>Литвинов, Богдан Юрійович</t>
  </si>
  <si>
    <t>Літвінов Михайло Дмитрович</t>
  </si>
  <si>
    <t>Макаренко Данило Сергійович</t>
  </si>
  <si>
    <t>Мальцев Георгій Володимирович</t>
  </si>
  <si>
    <t>Пивоваров Єгор Костянтинович</t>
  </si>
  <si>
    <t>Подгорнєва Анастасія Ігорівна</t>
  </si>
  <si>
    <t>Птащенко Василь Віталійович</t>
  </si>
  <si>
    <t>Сальнікова Маргарита Олександрівна</t>
  </si>
  <si>
    <t>Селіхова Дар'я Тарасівна</t>
  </si>
  <si>
    <t>Собакар Олександр Юрійович</t>
  </si>
  <si>
    <t>Супрун Руслан Геннадійович</t>
  </si>
  <si>
    <t>Сухобойченко Юлія Миколаївна</t>
  </si>
  <si>
    <t>Таргонська Соф'я Богданівна</t>
  </si>
  <si>
    <t>Топка Максим Дмитрович</t>
  </si>
  <si>
    <t>Улещенко Іван Володимирович</t>
  </si>
  <si>
    <t>Усков Олександр Олександрович</t>
  </si>
  <si>
    <t>Хмара Денис Олегович</t>
  </si>
  <si>
    <t>Черненко Євгеній Олегович</t>
  </si>
  <si>
    <t>Черненко Олексій Віталійович</t>
  </si>
  <si>
    <t>Шарунов Михайло Олексійович</t>
  </si>
  <si>
    <t>Швачка Артем Анатолійович</t>
  </si>
  <si>
    <t>Шкуратова Тетяна Ігорівеа</t>
  </si>
  <si>
    <t>Юрченко Анастасія Дмитрівна</t>
  </si>
  <si>
    <t>Яцик Єва Олександрівна</t>
  </si>
  <si>
    <t>ПІП</t>
  </si>
  <si>
    <t>Клас</t>
  </si>
  <si>
    <t>Заклад освіти</t>
  </si>
  <si>
    <t>Локація</t>
  </si>
  <si>
    <t>Задача 1</t>
  </si>
  <si>
    <t>Задача 2</t>
  </si>
  <si>
    <t>Задача 3</t>
  </si>
  <si>
    <t>Задача 4</t>
  </si>
  <si>
    <t>Експеримент</t>
  </si>
  <si>
    <t>Комунальний заклад «Харківський ліцей № 97 Харківської міської ради»</t>
  </si>
  <si>
    <t>Салтівський район</t>
  </si>
  <si>
    <t>Комунальний заклад «Харківський ліцей № 89 Харківської міської ради»</t>
  </si>
  <si>
    <t>Шевченківський район</t>
  </si>
  <si>
    <t>Комунальний заклад «Харківський ліцей № 47 Харківської міської ради»</t>
  </si>
  <si>
    <t>Комунальний заклад «Харківський ліцей № 141 Харківської міської ради»</t>
  </si>
  <si>
    <t>Комунальний заклад «Харківський ліцей № 161 «Імпульс» Харківської міської ради»</t>
  </si>
  <si>
    <t>Немишлянський район</t>
  </si>
  <si>
    <t>Комунального закладу «Харківський науковий ліцей "Обдарованість"» Харківської обласної ради</t>
  </si>
  <si>
    <t>Обдарованість</t>
  </si>
  <si>
    <t>Харківський приватний ліцей «Народна українська академія» Харківської області</t>
  </si>
  <si>
    <t>Київський район</t>
  </si>
  <si>
    <t>Комунальний заклад «Харківський ліцей № 169 Харківської міської ради»</t>
  </si>
  <si>
    <t>Комунальний заклад «Харківський академічний ліцей № 45 Харківської міської ради»</t>
  </si>
  <si>
    <t>Комунальний заклад «Харківський ліцей № 140 Харківської міської ради»</t>
  </si>
  <si>
    <t>Комунальний заклад «Золочівський ліцей №1» Золочівської селищної ради</t>
  </si>
  <si>
    <t>Богодухівська опорна локація</t>
  </si>
  <si>
    <t>Комунальний заклад «Харківський ліцей № 87 Харківської міської ради»</t>
  </si>
  <si>
    <t>Холодногірський район</t>
  </si>
  <si>
    <t>Комунальний заклад «Харківський ліцей № 11 імені Данила Дідика Харківської міської ради»</t>
  </si>
  <si>
    <t>Берестинський ліцей № 2 Берестинської міської ради Харківської області</t>
  </si>
  <si>
    <t>Берестинська опорна локація</t>
  </si>
  <si>
    <t>Філія «Харківський приватний ліцей «Народна українська академія» Харківської області» приватного закладу вищої освіти Харківського гуманітарного університету «Народна українська академія»</t>
  </si>
  <si>
    <t>Комунальний заклад «Харківський ліцей № 56 Харківської міської ради»</t>
  </si>
  <si>
    <t>Комунальний заклад «Харківський ліцей № 82 Харківської міської ради»</t>
  </si>
  <si>
    <t>Слобідський район</t>
  </si>
  <si>
    <t>Комунальний заклад «Харківський ліцей № 163 Харківської міської ради»</t>
  </si>
  <si>
    <t>Індустріальний район</t>
  </si>
  <si>
    <t>Комунальний заклад «Харківський ліцей № 173 Харківської міської ради»</t>
  </si>
  <si>
    <t>Андріївський ліцей № 1 Донецької селищної ради Ізюмського району Харківської області</t>
  </si>
  <si>
    <t>Ізюмська опорна локація</t>
  </si>
  <si>
    <t>Комунальний заклад «Харківський ліцей № 132 Харківської міської ради»</t>
  </si>
  <si>
    <t>Приватний заклад освіти Харківський ліцей «Авторська кола Бойка» Харківської області</t>
  </si>
  <si>
    <t>Куп’янский ліцей № 1 Куп’янської міської ради Харківської області</t>
  </si>
  <si>
    <t>Куп'янська опорна локація</t>
  </si>
  <si>
    <t>Комунальний заклад «Харківський ліцей №34 Харківської міської ради»</t>
  </si>
  <si>
    <t>Основ'янський район</t>
  </si>
  <si>
    <t>Комунальний заклад «Люботинський мистецький ліцей “Дивосвіт”» Харківської обласної ради</t>
  </si>
  <si>
    <t>Заклади обласного підпорядкування</t>
  </si>
  <si>
    <t>Комунальний заклад «Харківський ліцей № 154 Харківської міської ради»</t>
  </si>
  <si>
    <t>Балаклійський ліцей № 1 ім. О.А.Тризни Балаклійської міської ради Харківської області</t>
  </si>
  <si>
    <t>Комунальний заклад «Харківський фізико-математичний науковий ліцей № 27 Харківської міської ради»</t>
  </si>
  <si>
    <t>Новобаварський район</t>
  </si>
  <si>
    <t>Комунальний заклад «Кегичівський ліцей»</t>
  </si>
  <si>
    <t>Кегичівська опорна локація</t>
  </si>
  <si>
    <t>Комунальний заклад «Харківський університетський ліцей Харківської міської ради»</t>
  </si>
  <si>
    <t>Комунальний заклад «Харківський ліцей № 162 Харківської міської ради»</t>
  </si>
  <si>
    <t>Лозівська опорна локація</t>
  </si>
  <si>
    <t>Комунальний заклад «Харківський ліцей № 43 Харківської міської ради»</t>
  </si>
  <si>
    <t>Комунальний заклад «Геніївська загальноосвітня школа І-ІІІ ступенів» Слобожанської міської ради Чугуївського району Харківської області</t>
  </si>
  <si>
    <t>Чугуївська опорна локація</t>
  </si>
  <si>
    <t>Комунальний заклад «Харківський ліцей №46 Харківської міської ради»</t>
  </si>
  <si>
    <t>10 клас</t>
  </si>
  <si>
    <t>max 55 балів</t>
  </si>
  <si>
    <t xml:space="preserve">Ходикіна Аріна Віталіївна </t>
  </si>
  <si>
    <t>Комунальний заклад «Лозівський ліцей № 11» Лозівської міської ради Харківської області</t>
  </si>
  <si>
    <t>І</t>
  </si>
  <si>
    <t>ІІ</t>
  </si>
  <si>
    <t>ІІІ</t>
  </si>
  <si>
    <t>місце</t>
  </si>
  <si>
    <t>Валківський ліцей імені Олександра Масельського Валківської міської ради Богодухівського району Харківської області</t>
  </si>
  <si>
    <t>Остаточні результати ІІ (обласного) етапу Всеукраїнської учнівської олімпіади з ФІЗИКИ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</si>
</sst>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0"/>
      <color rgb="FF434343"/>
      <name val="Roboto"/>
    </font>
    <font>
      <sz val="10"/>
      <color rgb="FF434343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434343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0"/>
      <name val="Arial"/>
      <family val="2"/>
      <charset val="204"/>
      <scheme val="minor"/>
    </font>
    <font>
      <sz val="1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16">
    <dxf>
      <font>
        <strike val="0"/>
        <outline val="0"/>
        <shadow val="0"/>
        <u val="none"/>
        <vertAlign val="baseline"/>
        <sz val="10"/>
        <name val="Arial"/>
        <scheme val="minor"/>
      </font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434343"/>
        <name val="Arial"/>
        <scheme val="minor"/>
      </font>
      <alignment horizontal="center" vertical="center" textRotation="0" wrapText="0" indent="0" justifyLastLine="0" shrinkToFit="0" readingOrder="0"/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name val="Arial"/>
        <scheme val="minor"/>
      </font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name val="Arial"/>
        <scheme val="minor"/>
      </font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name val="Arial"/>
        <scheme val="minor"/>
      </font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name val="Arial"/>
        <scheme val="minor"/>
      </font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name val="Arial"/>
        <scheme val="minor"/>
      </font>
      <alignment horizontal="center" vertical="center" textRotation="0" wrapText="0" indent="0" justifyLastLine="0" shrinkToFit="0" readingOrder="0"/>
      <border outline="0">
        <left/>
        <right style="thin">
          <color rgb="FF000000"/>
        </right>
      </border>
    </dxf>
    <dxf>
      <alignment horizontal="left" vertical="center" textRotation="0" wrapText="0" indent="0" justifyLastLine="0" shrinkToFit="0" readingOrder="0"/>
      <border outline="0">
        <left/>
        <right style="thin">
          <color rgb="FF000000"/>
        </right>
      </border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>
      <tableStyleElement type="wholeTable" size="0" dxfId="15"/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1:K50" headerRowDxfId="11">
  <sortState ref="A2:J51">
    <sortCondition descending="1" ref="J3"/>
  </sortState>
  <tableColumns count="11">
    <tableColumn id="2" name="ПІП" dataDxfId="10"/>
    <tableColumn id="5" name="Клас" dataDxfId="9"/>
    <tableColumn id="6" name="Заклад освіти" dataDxfId="8"/>
    <tableColumn id="7" name="Локація" dataDxfId="7"/>
    <tableColumn id="9" name="Задача 1" dataDxfId="6"/>
    <tableColumn id="10" name="Задача 2" dataDxfId="5"/>
    <tableColumn id="11" name="Задача 3" dataDxfId="4"/>
    <tableColumn id="12" name="Задача 4" dataDxfId="3"/>
    <tableColumn id="13" name="Експеримент" dataDxfId="2"/>
    <tableColumn id="14" name="Сума" dataDxfId="1"/>
    <tableColumn id="1" name="місце" dataDxfId="0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51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12.54296875" defaultRowHeight="15.75" customHeight="1"/>
  <cols>
    <col min="1" max="1" width="22.1796875" customWidth="1"/>
    <col min="2" max="2" width="6.6328125" customWidth="1"/>
    <col min="3" max="3" width="35.08984375" customWidth="1"/>
    <col min="4" max="4" width="32.7265625" customWidth="1"/>
    <col min="5" max="6" width="8.54296875" customWidth="1"/>
    <col min="7" max="8" width="8.453125" customWidth="1"/>
    <col min="9" max="9" width="11.81640625" customWidth="1"/>
    <col min="10" max="10" width="6.54296875" customWidth="1"/>
  </cols>
  <sheetData>
    <row r="1" spans="1:11" ht="22.5" customHeight="1">
      <c r="A1" s="1" t="s">
        <v>47</v>
      </c>
      <c r="B1" s="1" t="s">
        <v>48</v>
      </c>
      <c r="C1" s="1" t="s">
        <v>49</v>
      </c>
      <c r="D1" s="1" t="s">
        <v>50</v>
      </c>
      <c r="E1" s="1" t="s">
        <v>51</v>
      </c>
      <c r="F1" s="1" t="s">
        <v>52</v>
      </c>
      <c r="G1" s="1" t="s">
        <v>53</v>
      </c>
      <c r="H1" s="1" t="s">
        <v>54</v>
      </c>
      <c r="I1" s="1" t="s">
        <v>55</v>
      </c>
      <c r="J1" s="1" t="s">
        <v>0</v>
      </c>
      <c r="K1" s="6" t="s">
        <v>115</v>
      </c>
    </row>
    <row r="2" spans="1:11" ht="40" customHeight="1">
      <c r="A2" s="2" t="s">
        <v>108</v>
      </c>
      <c r="B2" s="1"/>
      <c r="C2" s="7" t="s">
        <v>117</v>
      </c>
      <c r="D2" s="1"/>
      <c r="E2" s="1"/>
      <c r="F2" s="1"/>
      <c r="G2" s="1"/>
      <c r="H2" s="1"/>
      <c r="I2" s="1"/>
      <c r="J2" s="2" t="s">
        <v>109</v>
      </c>
      <c r="K2" s="5"/>
    </row>
    <row r="3" spans="1:11" ht="22.5" customHeight="1">
      <c r="A3" s="13" t="s">
        <v>38</v>
      </c>
      <c r="B3" s="9">
        <v>10</v>
      </c>
      <c r="C3" s="14" t="s">
        <v>62</v>
      </c>
      <c r="D3" s="10" t="s">
        <v>63</v>
      </c>
      <c r="E3" s="3">
        <v>10</v>
      </c>
      <c r="F3" s="19">
        <v>9</v>
      </c>
      <c r="G3" s="3">
        <v>9</v>
      </c>
      <c r="H3" s="3">
        <f>2+2+2.5+2.5</f>
        <v>9</v>
      </c>
      <c r="I3" s="19">
        <v>12</v>
      </c>
      <c r="J3" s="16">
        <f t="shared" ref="J3:J28" si="0">E3+F3+G3+H3+I3</f>
        <v>49</v>
      </c>
      <c r="K3" s="17" t="s">
        <v>112</v>
      </c>
    </row>
    <row r="4" spans="1:11" ht="22.5" customHeight="1">
      <c r="A4" s="13" t="s">
        <v>5</v>
      </c>
      <c r="B4" s="9">
        <v>10</v>
      </c>
      <c r="C4" s="14" t="s">
        <v>62</v>
      </c>
      <c r="D4" s="10" t="s">
        <v>63</v>
      </c>
      <c r="E4" s="3">
        <v>10</v>
      </c>
      <c r="F4" s="3">
        <f>(2+1)+(1+1+1+1+0)</f>
        <v>7</v>
      </c>
      <c r="G4" s="3">
        <v>4</v>
      </c>
      <c r="H4" s="3">
        <f>1.5+2+2.5+1</f>
        <v>7</v>
      </c>
      <c r="I4" s="3">
        <f>1+1+2+5+3+1.5</f>
        <v>13.5</v>
      </c>
      <c r="J4" s="16">
        <f t="shared" si="0"/>
        <v>41.5</v>
      </c>
      <c r="K4" s="17" t="s">
        <v>112</v>
      </c>
    </row>
    <row r="5" spans="1:11" ht="37" customHeight="1">
      <c r="A5" s="13" t="s">
        <v>45</v>
      </c>
      <c r="B5" s="9">
        <v>10</v>
      </c>
      <c r="C5" s="14" t="s">
        <v>97</v>
      </c>
      <c r="D5" s="10" t="s">
        <v>98</v>
      </c>
      <c r="E5" s="3">
        <v>10</v>
      </c>
      <c r="F5" s="3">
        <f>(2+1)+(1+1+1+2+1)</f>
        <v>9</v>
      </c>
      <c r="G5" s="3">
        <v>4</v>
      </c>
      <c r="H5" s="3">
        <f>2+2+2+2</f>
        <v>8</v>
      </c>
      <c r="I5" s="3">
        <f>1+1+2+2.5+3+0</f>
        <v>9.5</v>
      </c>
      <c r="J5" s="16">
        <f t="shared" si="0"/>
        <v>40.5</v>
      </c>
      <c r="K5" s="17" t="s">
        <v>112</v>
      </c>
    </row>
    <row r="6" spans="1:11" ht="71.5" customHeight="1">
      <c r="A6" s="13" t="s">
        <v>16</v>
      </c>
      <c r="B6" s="9">
        <v>10</v>
      </c>
      <c r="C6" s="14" t="s">
        <v>78</v>
      </c>
      <c r="D6" s="10" t="s">
        <v>67</v>
      </c>
      <c r="E6" s="3">
        <v>10</v>
      </c>
      <c r="F6" s="3">
        <f>(2+1)+(0+1+1+2+1)</f>
        <v>8</v>
      </c>
      <c r="G6" s="3">
        <v>10</v>
      </c>
      <c r="H6" s="3">
        <f>1.5+2+2+1</f>
        <v>6.5</v>
      </c>
      <c r="I6" s="3">
        <f>1+0.5+0+2+2+0</f>
        <v>5.5</v>
      </c>
      <c r="J6" s="16">
        <f t="shared" si="0"/>
        <v>40</v>
      </c>
      <c r="K6" s="17" t="s">
        <v>112</v>
      </c>
    </row>
    <row r="7" spans="1:11" ht="33.5" customHeight="1">
      <c r="A7" s="13" t="s">
        <v>12</v>
      </c>
      <c r="B7" s="9">
        <v>10</v>
      </c>
      <c r="C7" s="14" t="s">
        <v>71</v>
      </c>
      <c r="D7" s="10" t="s">
        <v>72</v>
      </c>
      <c r="E7" s="3">
        <v>9</v>
      </c>
      <c r="F7" s="3">
        <f>(2+1)+(0+1+1+2+1)</f>
        <v>8</v>
      </c>
      <c r="G7" s="3">
        <v>8</v>
      </c>
      <c r="H7" s="3">
        <f>1+1.5+2+1</f>
        <v>5.5</v>
      </c>
      <c r="I7" s="3">
        <f>0+1+1+4+1+0.5</f>
        <v>7.5</v>
      </c>
      <c r="J7" s="16">
        <f t="shared" si="0"/>
        <v>38</v>
      </c>
      <c r="K7" s="17" t="s">
        <v>113</v>
      </c>
    </row>
    <row r="8" spans="1:11" ht="22.5" customHeight="1">
      <c r="A8" s="13" t="s">
        <v>9</v>
      </c>
      <c r="B8" s="9">
        <v>10</v>
      </c>
      <c r="C8" s="14" t="s">
        <v>68</v>
      </c>
      <c r="D8" s="10" t="s">
        <v>59</v>
      </c>
      <c r="E8" s="3">
        <v>10</v>
      </c>
      <c r="F8" s="3">
        <f>(2+2)+(0+1+1+2+1)</f>
        <v>9</v>
      </c>
      <c r="G8" s="3">
        <v>4</v>
      </c>
      <c r="H8" s="19">
        <v>6</v>
      </c>
      <c r="I8" s="3">
        <f>0+1+1+3+3+0.5</f>
        <v>8.5</v>
      </c>
      <c r="J8" s="18">
        <f t="shared" si="0"/>
        <v>37.5</v>
      </c>
      <c r="K8" s="17" t="s">
        <v>113</v>
      </c>
    </row>
    <row r="9" spans="1:11" ht="22.5" customHeight="1">
      <c r="A9" s="13" t="s">
        <v>14</v>
      </c>
      <c r="B9" s="9">
        <v>10</v>
      </c>
      <c r="C9" s="14" t="s">
        <v>75</v>
      </c>
      <c r="D9" s="10" t="s">
        <v>63</v>
      </c>
      <c r="E9" s="3">
        <v>10</v>
      </c>
      <c r="F9" s="3">
        <f>(2+1)+(0+1+1+2+1)</f>
        <v>8</v>
      </c>
      <c r="G9" s="3">
        <v>9</v>
      </c>
      <c r="H9" s="3">
        <f>0+0+0+0</f>
        <v>0</v>
      </c>
      <c r="I9" s="3">
        <f>2+1+1+3+3+0</f>
        <v>10</v>
      </c>
      <c r="J9" s="16">
        <f t="shared" si="0"/>
        <v>37</v>
      </c>
      <c r="K9" s="17" t="s">
        <v>113</v>
      </c>
    </row>
    <row r="10" spans="1:11" ht="30" customHeight="1">
      <c r="A10" s="13" t="s">
        <v>34</v>
      </c>
      <c r="B10" s="9">
        <v>10</v>
      </c>
      <c r="C10" s="14" t="s">
        <v>99</v>
      </c>
      <c r="D10" s="10" t="s">
        <v>100</v>
      </c>
      <c r="E10" s="3">
        <v>6</v>
      </c>
      <c r="F10" s="3">
        <f>(2+1)+(0+1+1+2+1)</f>
        <v>8</v>
      </c>
      <c r="G10" s="3">
        <v>8</v>
      </c>
      <c r="H10" s="3">
        <f>1+0.5+1.5+1</f>
        <v>4</v>
      </c>
      <c r="I10" s="3">
        <f>2+0.5+1+5+1+0.5</f>
        <v>10</v>
      </c>
      <c r="J10" s="16">
        <f t="shared" si="0"/>
        <v>36</v>
      </c>
      <c r="K10" s="17" t="s">
        <v>113</v>
      </c>
    </row>
    <row r="11" spans="1:11" ht="22.5" customHeight="1">
      <c r="A11" s="13" t="s">
        <v>42</v>
      </c>
      <c r="B11" s="9">
        <v>10</v>
      </c>
      <c r="C11" s="14" t="s">
        <v>104</v>
      </c>
      <c r="D11" s="10" t="s">
        <v>57</v>
      </c>
      <c r="E11" s="3">
        <v>10</v>
      </c>
      <c r="F11" s="3">
        <f>(1+0)+(0+1+1+1+0)</f>
        <v>4</v>
      </c>
      <c r="G11" s="3">
        <v>5</v>
      </c>
      <c r="H11" s="3">
        <f>1+1+1.5+1</f>
        <v>4.5</v>
      </c>
      <c r="I11" s="3">
        <f>2+1+2+4+3+0.5</f>
        <v>12.5</v>
      </c>
      <c r="J11" s="16">
        <f t="shared" si="0"/>
        <v>36</v>
      </c>
      <c r="K11" s="17" t="s">
        <v>113</v>
      </c>
    </row>
    <row r="12" spans="1:11" ht="34" customHeight="1">
      <c r="A12" s="13" t="s">
        <v>27</v>
      </c>
      <c r="B12" s="9">
        <v>10</v>
      </c>
      <c r="C12" s="14" t="s">
        <v>93</v>
      </c>
      <c r="D12" s="10" t="s">
        <v>94</v>
      </c>
      <c r="E12" s="3">
        <v>6</v>
      </c>
      <c r="F12" s="3">
        <f>(2+1)+(0+1+1+2+1)</f>
        <v>8</v>
      </c>
      <c r="G12" s="3">
        <v>4</v>
      </c>
      <c r="H12" s="3">
        <f>1+1.5+1.5+1</f>
        <v>5</v>
      </c>
      <c r="I12" s="3">
        <f>2+1+1+5+3+0.5</f>
        <v>12.5</v>
      </c>
      <c r="J12" s="16">
        <f t="shared" si="0"/>
        <v>35.5</v>
      </c>
      <c r="K12" s="17" t="s">
        <v>113</v>
      </c>
    </row>
    <row r="13" spans="1:11" ht="22.5" customHeight="1">
      <c r="A13" s="13" t="s">
        <v>39</v>
      </c>
      <c r="B13" s="9">
        <v>10</v>
      </c>
      <c r="C13" s="14" t="s">
        <v>102</v>
      </c>
      <c r="D13" s="10" t="s">
        <v>98</v>
      </c>
      <c r="E13" s="3">
        <v>8</v>
      </c>
      <c r="F13" s="3">
        <f>(2+1)+(0+1+1+2+1)</f>
        <v>8</v>
      </c>
      <c r="G13" s="3">
        <v>4</v>
      </c>
      <c r="H13" s="3">
        <f>1+1.5+0.5+2</f>
        <v>5</v>
      </c>
      <c r="I13" s="3">
        <f>2+1+1+5+1+0.5</f>
        <v>10.5</v>
      </c>
      <c r="J13" s="16">
        <f t="shared" si="0"/>
        <v>35.5</v>
      </c>
      <c r="K13" s="17" t="s">
        <v>113</v>
      </c>
    </row>
    <row r="14" spans="1:11" ht="22.5" customHeight="1">
      <c r="A14" s="13" t="s">
        <v>23</v>
      </c>
      <c r="B14" s="9">
        <v>10</v>
      </c>
      <c r="C14" s="14" t="s">
        <v>87</v>
      </c>
      <c r="D14" s="10" t="s">
        <v>59</v>
      </c>
      <c r="E14" s="3">
        <v>8</v>
      </c>
      <c r="F14" s="3">
        <f>(2+1)+(0+1+0+2+0)</f>
        <v>6</v>
      </c>
      <c r="G14" s="3">
        <v>9</v>
      </c>
      <c r="H14" s="3">
        <f>1+2+1.5+1</f>
        <v>5.5</v>
      </c>
      <c r="I14" s="3">
        <f>2+1+1+1+1+0.5</f>
        <v>6.5</v>
      </c>
      <c r="J14" s="16">
        <f t="shared" si="0"/>
        <v>35</v>
      </c>
      <c r="K14" s="17" t="s">
        <v>113</v>
      </c>
    </row>
    <row r="15" spans="1:11" ht="35.5" customHeight="1">
      <c r="A15" s="13" t="s">
        <v>44</v>
      </c>
      <c r="B15" s="9">
        <v>10</v>
      </c>
      <c r="C15" s="14" t="s">
        <v>97</v>
      </c>
      <c r="D15" s="10" t="s">
        <v>98</v>
      </c>
      <c r="E15" s="3">
        <v>7</v>
      </c>
      <c r="F15" s="3">
        <f>(2+2)+(0+1+0+1+0)</f>
        <v>6</v>
      </c>
      <c r="G15" s="3">
        <v>8</v>
      </c>
      <c r="H15" s="3">
        <f>2+2+2+0</f>
        <v>6</v>
      </c>
      <c r="I15" s="3">
        <f>0+1+0+5+1+0.5</f>
        <v>7.5</v>
      </c>
      <c r="J15" s="16">
        <f t="shared" si="0"/>
        <v>34.5</v>
      </c>
      <c r="K15" s="17" t="s">
        <v>113</v>
      </c>
    </row>
    <row r="16" spans="1:11" ht="22.5" customHeight="1">
      <c r="A16" s="13" t="s">
        <v>2</v>
      </c>
      <c r="B16" s="9">
        <v>10</v>
      </c>
      <c r="C16" s="14" t="s">
        <v>58</v>
      </c>
      <c r="D16" s="10" t="s">
        <v>59</v>
      </c>
      <c r="E16" s="3">
        <v>7.5</v>
      </c>
      <c r="F16" s="3">
        <f>(2+1)+(0+1+1+0+0)</f>
        <v>5</v>
      </c>
      <c r="G16" s="3">
        <v>9</v>
      </c>
      <c r="H16" s="3">
        <f>1.5+2+0+0</f>
        <v>3.5</v>
      </c>
      <c r="I16" s="3">
        <f>2+0+0+4+2+0.5</f>
        <v>8.5</v>
      </c>
      <c r="J16" s="16">
        <f t="shared" si="0"/>
        <v>33.5</v>
      </c>
      <c r="K16" s="17" t="s">
        <v>114</v>
      </c>
    </row>
    <row r="17" spans="1:11" ht="22.5" customHeight="1">
      <c r="A17" s="13" t="s">
        <v>20</v>
      </c>
      <c r="B17" s="9">
        <v>10</v>
      </c>
      <c r="C17" s="14" t="s">
        <v>82</v>
      </c>
      <c r="D17" s="10" t="s">
        <v>83</v>
      </c>
      <c r="E17" s="3">
        <v>10</v>
      </c>
      <c r="F17" s="3">
        <f>(2+1)+(0+1+1+2+1)</f>
        <v>8</v>
      </c>
      <c r="G17" s="3">
        <v>10</v>
      </c>
      <c r="H17" s="3">
        <f>1+1.5+1.5+1</f>
        <v>5</v>
      </c>
      <c r="I17" s="3">
        <v>0</v>
      </c>
      <c r="J17" s="16">
        <f t="shared" si="0"/>
        <v>33</v>
      </c>
      <c r="K17" s="17" t="s">
        <v>114</v>
      </c>
    </row>
    <row r="18" spans="1:11" ht="36" customHeight="1">
      <c r="A18" s="13" t="s">
        <v>37</v>
      </c>
      <c r="B18" s="9">
        <v>10</v>
      </c>
      <c r="C18" s="14" t="s">
        <v>88</v>
      </c>
      <c r="D18" s="10" t="s">
        <v>59</v>
      </c>
      <c r="E18" s="3">
        <v>7</v>
      </c>
      <c r="F18" s="3">
        <f>(2+1)+(0+1+0+2+0)</f>
        <v>6</v>
      </c>
      <c r="G18" s="3">
        <v>9</v>
      </c>
      <c r="H18" s="3">
        <f>1.5+0.5+2.5+1.5</f>
        <v>6</v>
      </c>
      <c r="I18" s="3">
        <f>0+1+1.5+1+1+0.5</f>
        <v>5</v>
      </c>
      <c r="J18" s="16">
        <f t="shared" si="0"/>
        <v>33</v>
      </c>
      <c r="K18" s="17" t="s">
        <v>114</v>
      </c>
    </row>
    <row r="19" spans="1:11" ht="22.5" customHeight="1">
      <c r="A19" s="13" t="s">
        <v>46</v>
      </c>
      <c r="B19" s="9">
        <v>10</v>
      </c>
      <c r="C19" s="14" t="s">
        <v>107</v>
      </c>
      <c r="D19" s="10" t="s">
        <v>81</v>
      </c>
      <c r="E19" s="3">
        <v>8</v>
      </c>
      <c r="F19" s="3">
        <f>(2+1)+(0+1+1+2+1)</f>
        <v>8</v>
      </c>
      <c r="G19" s="3">
        <v>5</v>
      </c>
      <c r="H19" s="3">
        <f>0.5+0+1+1</f>
        <v>2.5</v>
      </c>
      <c r="I19" s="3">
        <f>1+1+1+5+1+0.5</f>
        <v>9.5</v>
      </c>
      <c r="J19" s="16">
        <f t="shared" si="0"/>
        <v>33</v>
      </c>
      <c r="K19" s="17" t="s">
        <v>114</v>
      </c>
    </row>
    <row r="20" spans="1:11" ht="22.5" customHeight="1">
      <c r="A20" s="13" t="s">
        <v>19</v>
      </c>
      <c r="B20" s="9">
        <v>10</v>
      </c>
      <c r="C20" s="14" t="s">
        <v>80</v>
      </c>
      <c r="D20" s="10" t="s">
        <v>81</v>
      </c>
      <c r="E20" s="3">
        <v>10</v>
      </c>
      <c r="F20" s="3">
        <f>(2+2)+(0+1+1+2+0)</f>
        <v>8</v>
      </c>
      <c r="G20" s="3">
        <v>8</v>
      </c>
      <c r="H20" s="3">
        <f>2+1.5+0+1</f>
        <v>4.5</v>
      </c>
      <c r="I20" s="3">
        <f>1+1</f>
        <v>2</v>
      </c>
      <c r="J20" s="16">
        <f t="shared" si="0"/>
        <v>32.5</v>
      </c>
      <c r="K20" s="17" t="s">
        <v>114</v>
      </c>
    </row>
    <row r="21" spans="1:11" ht="38" customHeight="1">
      <c r="A21" s="13" t="s">
        <v>32</v>
      </c>
      <c r="B21" s="9">
        <v>10</v>
      </c>
      <c r="C21" s="14" t="s">
        <v>97</v>
      </c>
      <c r="D21" s="10" t="s">
        <v>98</v>
      </c>
      <c r="E21" s="3">
        <v>6</v>
      </c>
      <c r="F21" s="3">
        <f>(2+1)+(0+0+1+1+1)</f>
        <v>6</v>
      </c>
      <c r="G21" s="3">
        <v>7</v>
      </c>
      <c r="H21" s="3">
        <f>0.5+1.5+0+1</f>
        <v>3</v>
      </c>
      <c r="I21" s="3">
        <f>0+1+1+5+3+0.5</f>
        <v>10.5</v>
      </c>
      <c r="J21" s="16">
        <f t="shared" si="0"/>
        <v>32.5</v>
      </c>
      <c r="K21" s="17" t="s">
        <v>114</v>
      </c>
    </row>
    <row r="22" spans="1:11" ht="22.5" customHeight="1">
      <c r="A22" s="13" t="s">
        <v>26</v>
      </c>
      <c r="B22" s="9">
        <v>10</v>
      </c>
      <c r="C22" s="14" t="s">
        <v>91</v>
      </c>
      <c r="D22" s="10" t="s">
        <v>92</v>
      </c>
      <c r="E22" s="3">
        <v>7</v>
      </c>
      <c r="F22" s="3">
        <f>(2+1)+(0+1+1+0+0)</f>
        <v>5</v>
      </c>
      <c r="G22" s="3">
        <v>5</v>
      </c>
      <c r="H22" s="3">
        <f>1+0.5+1.5+1</f>
        <v>4</v>
      </c>
      <c r="I22" s="3">
        <f>0+1+1+5+3+0.5</f>
        <v>10.5</v>
      </c>
      <c r="J22" s="16">
        <f t="shared" si="0"/>
        <v>31.5</v>
      </c>
      <c r="K22" s="17" t="s">
        <v>114</v>
      </c>
    </row>
    <row r="23" spans="1:11" ht="22.5" customHeight="1">
      <c r="A23" s="13" t="s">
        <v>3</v>
      </c>
      <c r="B23" s="9">
        <v>10</v>
      </c>
      <c r="C23" s="14" t="s">
        <v>60</v>
      </c>
      <c r="D23" s="10" t="s">
        <v>59</v>
      </c>
      <c r="E23" s="3">
        <v>8</v>
      </c>
      <c r="F23" s="3">
        <f>(1+0)+(0+0+0+0+0)</f>
        <v>1</v>
      </c>
      <c r="G23" s="3">
        <v>6</v>
      </c>
      <c r="H23" s="3">
        <f>1+0.5+1.5+1</f>
        <v>4</v>
      </c>
      <c r="I23" s="3">
        <f>1+0.5+2+5+3+0.5</f>
        <v>12</v>
      </c>
      <c r="J23" s="16">
        <f t="shared" si="0"/>
        <v>31</v>
      </c>
      <c r="K23" s="17" t="s">
        <v>114</v>
      </c>
    </row>
    <row r="24" spans="1:11" ht="48.5" customHeight="1">
      <c r="A24" s="13" t="s">
        <v>17</v>
      </c>
      <c r="B24" s="9">
        <v>10</v>
      </c>
      <c r="C24" s="20" t="s">
        <v>116</v>
      </c>
      <c r="D24" s="10" t="s">
        <v>72</v>
      </c>
      <c r="E24" s="3">
        <v>2</v>
      </c>
      <c r="F24" s="3">
        <f>(2+1)+(0+1+1+2+1)</f>
        <v>8</v>
      </c>
      <c r="G24" s="3">
        <v>8</v>
      </c>
      <c r="H24" s="3">
        <f>1+1+1.5+1</f>
        <v>4.5</v>
      </c>
      <c r="I24" s="3">
        <f>2+1+0+2+3+0.5</f>
        <v>8.5</v>
      </c>
      <c r="J24" s="16">
        <f t="shared" si="0"/>
        <v>31</v>
      </c>
      <c r="K24" s="17" t="s">
        <v>114</v>
      </c>
    </row>
    <row r="25" spans="1:11" ht="37.5" customHeight="1">
      <c r="A25" s="13" t="s">
        <v>24</v>
      </c>
      <c r="B25" s="9">
        <v>10</v>
      </c>
      <c r="C25" s="14" t="s">
        <v>88</v>
      </c>
      <c r="D25" s="10" t="s">
        <v>59</v>
      </c>
      <c r="E25" s="3">
        <v>7</v>
      </c>
      <c r="F25" s="3">
        <f>(2+2)+(0+1+1+2+1)</f>
        <v>9</v>
      </c>
      <c r="G25" s="3">
        <v>9</v>
      </c>
      <c r="H25" s="3">
        <f>0+0.5+0.5+0</f>
        <v>1</v>
      </c>
      <c r="I25" s="3">
        <f>0+0+2+1+1+0</f>
        <v>4</v>
      </c>
      <c r="J25" s="16">
        <f t="shared" si="0"/>
        <v>30</v>
      </c>
      <c r="K25" s="17" t="s">
        <v>114</v>
      </c>
    </row>
    <row r="26" spans="1:11" ht="38" customHeight="1">
      <c r="A26" s="13" t="s">
        <v>22</v>
      </c>
      <c r="B26" s="9">
        <v>10</v>
      </c>
      <c r="C26" s="14" t="s">
        <v>85</v>
      </c>
      <c r="D26" s="10" t="s">
        <v>86</v>
      </c>
      <c r="E26" s="3">
        <v>4</v>
      </c>
      <c r="F26" s="3">
        <f>(2+1)+(0+0+1+0+0)</f>
        <v>4</v>
      </c>
      <c r="G26" s="3">
        <v>7</v>
      </c>
      <c r="H26" s="3">
        <f>1.5+1.5+2+1</f>
        <v>6</v>
      </c>
      <c r="I26" s="3">
        <f>0+1+1+3+3+0.5</f>
        <v>8.5</v>
      </c>
      <c r="J26" s="16">
        <f t="shared" si="0"/>
        <v>29.5</v>
      </c>
      <c r="K26" s="17"/>
    </row>
    <row r="27" spans="1:11" ht="36" customHeight="1">
      <c r="A27" s="13" t="s">
        <v>36</v>
      </c>
      <c r="B27" s="11">
        <v>10</v>
      </c>
      <c r="C27" s="15" t="s">
        <v>101</v>
      </c>
      <c r="D27" s="12" t="s">
        <v>59</v>
      </c>
      <c r="E27" s="3">
        <v>10</v>
      </c>
      <c r="F27" s="3">
        <f>(2+0)+(0+1+1+1+0)</f>
        <v>5</v>
      </c>
      <c r="G27" s="3">
        <v>4</v>
      </c>
      <c r="H27" s="3">
        <f>0.5+1.5+0+1</f>
        <v>3</v>
      </c>
      <c r="I27" s="3">
        <f>2+1+1+2+1+0.5</f>
        <v>7.5</v>
      </c>
      <c r="J27" s="16">
        <f t="shared" si="0"/>
        <v>29.5</v>
      </c>
      <c r="K27" s="17"/>
    </row>
    <row r="28" spans="1:11" ht="22.5" customHeight="1">
      <c r="A28" s="13" t="s">
        <v>35</v>
      </c>
      <c r="B28" s="9">
        <v>10</v>
      </c>
      <c r="C28" s="14" t="s">
        <v>58</v>
      </c>
      <c r="D28" s="10" t="s">
        <v>59</v>
      </c>
      <c r="E28" s="3">
        <v>8.5</v>
      </c>
      <c r="F28" s="3">
        <f>(2+0)+(0+1+1+2+1)</f>
        <v>7</v>
      </c>
      <c r="G28" s="3">
        <v>5</v>
      </c>
      <c r="H28" s="3">
        <f>1.5+2+1.5+0</f>
        <v>5</v>
      </c>
      <c r="I28" s="3">
        <f>0+0.5+1+0+1+0.5</f>
        <v>3</v>
      </c>
      <c r="J28" s="16">
        <f t="shared" si="0"/>
        <v>28.5</v>
      </c>
      <c r="K28" s="17"/>
    </row>
    <row r="29" spans="1:11" ht="36" customHeight="1">
      <c r="A29" s="13" t="s">
        <v>110</v>
      </c>
      <c r="B29" s="9">
        <v>10</v>
      </c>
      <c r="C29" s="14" t="s">
        <v>111</v>
      </c>
      <c r="D29" s="10" t="s">
        <v>103</v>
      </c>
      <c r="E29" s="3">
        <v>4.5</v>
      </c>
      <c r="F29" s="3">
        <v>7</v>
      </c>
      <c r="G29" s="3">
        <v>4</v>
      </c>
      <c r="H29" s="3">
        <v>4.5</v>
      </c>
      <c r="I29" s="3">
        <v>8</v>
      </c>
      <c r="J29" s="16">
        <v>28</v>
      </c>
      <c r="K29" s="17"/>
    </row>
    <row r="30" spans="1:11" ht="35.5" customHeight="1">
      <c r="A30" s="13" t="s">
        <v>8</v>
      </c>
      <c r="B30" s="9">
        <v>10</v>
      </c>
      <c r="C30" s="14" t="s">
        <v>64</v>
      </c>
      <c r="D30" s="10" t="s">
        <v>65</v>
      </c>
      <c r="E30" s="3">
        <v>10</v>
      </c>
      <c r="F30" s="3">
        <f>(1+0)+(0+1+1+2+1)</f>
        <v>6</v>
      </c>
      <c r="G30" s="3">
        <v>5</v>
      </c>
      <c r="H30" s="3">
        <f>0+0+0+0</f>
        <v>0</v>
      </c>
      <c r="I30" s="3">
        <f>0+0.5+2+1+3+0</f>
        <v>6.5</v>
      </c>
      <c r="J30" s="16">
        <f t="shared" ref="J30:J49" si="1">E30+F30+G30+H30+I30</f>
        <v>27.5</v>
      </c>
      <c r="K30" s="17"/>
    </row>
    <row r="31" spans="1:11" ht="35.5" customHeight="1">
      <c r="A31" s="13" t="s">
        <v>28</v>
      </c>
      <c r="B31" s="9">
        <v>10</v>
      </c>
      <c r="C31" s="14" t="s">
        <v>64</v>
      </c>
      <c r="D31" s="10" t="s">
        <v>65</v>
      </c>
      <c r="E31" s="3">
        <v>1</v>
      </c>
      <c r="F31" s="3">
        <f>(2+1)+(0+1+1+1+0)</f>
        <v>6</v>
      </c>
      <c r="G31" s="3">
        <v>5</v>
      </c>
      <c r="H31" s="3">
        <f>1.5+1.5+1.5+1</f>
        <v>5.5</v>
      </c>
      <c r="I31" s="3">
        <f>0+1+2+3+3+0.5</f>
        <v>9.5</v>
      </c>
      <c r="J31" s="16">
        <f t="shared" si="1"/>
        <v>27</v>
      </c>
      <c r="K31" s="17"/>
    </row>
    <row r="32" spans="1:11" ht="22.5" customHeight="1">
      <c r="A32" s="13" t="s">
        <v>31</v>
      </c>
      <c r="B32" s="9">
        <v>10</v>
      </c>
      <c r="C32" s="14" t="s">
        <v>68</v>
      </c>
      <c r="D32" s="10" t="s">
        <v>59</v>
      </c>
      <c r="E32" s="3">
        <v>10</v>
      </c>
      <c r="F32" s="3">
        <f>(2+0)+(0+1+0+1+0)</f>
        <v>4</v>
      </c>
      <c r="G32" s="3">
        <v>3</v>
      </c>
      <c r="H32" s="3">
        <f>0+0.5+0+0</f>
        <v>0.5</v>
      </c>
      <c r="I32" s="3">
        <f>2+1+1+3+1+0.5</f>
        <v>8.5</v>
      </c>
      <c r="J32" s="16">
        <f t="shared" si="1"/>
        <v>26</v>
      </c>
      <c r="K32" s="17"/>
    </row>
    <row r="33" spans="1:11" ht="33.5" customHeight="1">
      <c r="A33" s="13" t="s">
        <v>10</v>
      </c>
      <c r="B33" s="9">
        <v>10</v>
      </c>
      <c r="C33" s="14" t="s">
        <v>69</v>
      </c>
      <c r="D33" s="10" t="s">
        <v>59</v>
      </c>
      <c r="E33" s="3">
        <v>10</v>
      </c>
      <c r="F33" s="3">
        <f>(2+0)+(0+1+1+0+0)</f>
        <v>4</v>
      </c>
      <c r="G33" s="3">
        <v>3</v>
      </c>
      <c r="H33" s="3">
        <f>1+0+1+0.5</f>
        <v>2.5</v>
      </c>
      <c r="I33" s="3">
        <f>0+0.5+1+2+1+1</f>
        <v>5.5</v>
      </c>
      <c r="J33" s="16">
        <f t="shared" si="1"/>
        <v>25</v>
      </c>
      <c r="K33" s="17"/>
    </row>
    <row r="34" spans="1:11" ht="22.5" customHeight="1">
      <c r="A34" s="13" t="s">
        <v>21</v>
      </c>
      <c r="B34" s="9">
        <v>10</v>
      </c>
      <c r="C34" s="14" t="s">
        <v>84</v>
      </c>
      <c r="D34" s="10" t="s">
        <v>81</v>
      </c>
      <c r="E34" s="3">
        <v>5</v>
      </c>
      <c r="F34" s="3">
        <f>(1+0)+(0+1+1+2+0)</f>
        <v>5</v>
      </c>
      <c r="G34" s="3">
        <v>5</v>
      </c>
      <c r="H34" s="3">
        <f>0.5+0+1+0</f>
        <v>1.5</v>
      </c>
      <c r="I34" s="3">
        <f>0+1+0.5+3+3+0.5</f>
        <v>8</v>
      </c>
      <c r="J34" s="16">
        <f t="shared" si="1"/>
        <v>24.5</v>
      </c>
      <c r="K34" s="17"/>
    </row>
    <row r="35" spans="1:11" ht="33" customHeight="1">
      <c r="A35" s="13" t="s">
        <v>30</v>
      </c>
      <c r="B35" s="9">
        <v>10</v>
      </c>
      <c r="C35" s="14" t="s">
        <v>96</v>
      </c>
      <c r="D35" s="10" t="s">
        <v>86</v>
      </c>
      <c r="E35" s="3">
        <v>7</v>
      </c>
      <c r="F35" s="3">
        <f>(2+0)+(0+1+1+2+1)</f>
        <v>7</v>
      </c>
      <c r="G35" s="3">
        <v>1</v>
      </c>
      <c r="H35" s="3">
        <f>0+0.5+1+1</f>
        <v>2.5</v>
      </c>
      <c r="I35" s="3">
        <f>2+1+1+1+1+0.5</f>
        <v>6.5</v>
      </c>
      <c r="J35" s="16">
        <f t="shared" si="1"/>
        <v>24</v>
      </c>
      <c r="K35" s="17"/>
    </row>
    <row r="36" spans="1:11" ht="37" customHeight="1">
      <c r="A36" s="13" t="s">
        <v>40</v>
      </c>
      <c r="B36" s="9">
        <v>10</v>
      </c>
      <c r="C36" s="14" t="s">
        <v>64</v>
      </c>
      <c r="D36" s="10" t="s">
        <v>65</v>
      </c>
      <c r="E36" s="3">
        <v>4</v>
      </c>
      <c r="F36" s="3">
        <f>(2+1)+(0+0+0+0+0)</f>
        <v>3</v>
      </c>
      <c r="G36" s="3">
        <v>5</v>
      </c>
      <c r="H36" s="3">
        <f>1+1.5+0+1</f>
        <v>3.5</v>
      </c>
      <c r="I36" s="3">
        <f>2+1+1+2+2+0.5</f>
        <v>8.5</v>
      </c>
      <c r="J36" s="16">
        <f t="shared" si="1"/>
        <v>24</v>
      </c>
      <c r="K36" s="17"/>
    </row>
    <row r="37" spans="1:11" ht="22.5" customHeight="1">
      <c r="A37" s="13" t="s">
        <v>1</v>
      </c>
      <c r="B37" s="9">
        <v>10</v>
      </c>
      <c r="C37" s="14" t="s">
        <v>56</v>
      </c>
      <c r="D37" s="10" t="s">
        <v>57</v>
      </c>
      <c r="E37" s="4">
        <v>10</v>
      </c>
      <c r="F37" s="4">
        <f>(2+1)+(0+1+1+2+1)</f>
        <v>8</v>
      </c>
      <c r="G37" s="4">
        <v>5</v>
      </c>
      <c r="H37" s="4">
        <f>0+0+0+0</f>
        <v>0</v>
      </c>
      <c r="I37" s="4">
        <f>0</f>
        <v>0</v>
      </c>
      <c r="J37" s="16">
        <f t="shared" si="1"/>
        <v>23</v>
      </c>
      <c r="K37" s="17"/>
    </row>
    <row r="38" spans="1:11" ht="38" customHeight="1">
      <c r="A38" s="13" t="s">
        <v>7</v>
      </c>
      <c r="B38" s="9">
        <v>10</v>
      </c>
      <c r="C38" s="14" t="s">
        <v>66</v>
      </c>
      <c r="D38" s="10" t="s">
        <v>67</v>
      </c>
      <c r="E38" s="3">
        <v>0</v>
      </c>
      <c r="F38" s="3">
        <f>(1+2)+(0+0+0+0+0)</f>
        <v>3</v>
      </c>
      <c r="G38" s="3">
        <v>1</v>
      </c>
      <c r="H38" s="3">
        <f>1+2+0+1</f>
        <v>4</v>
      </c>
      <c r="I38" s="3">
        <f>2+1+2+4+3+0.5</f>
        <v>12.5</v>
      </c>
      <c r="J38" s="16">
        <f t="shared" si="1"/>
        <v>20.5</v>
      </c>
      <c r="K38" s="17"/>
    </row>
    <row r="39" spans="1:11" ht="22.5" customHeight="1">
      <c r="A39" s="13" t="s">
        <v>29</v>
      </c>
      <c r="B39" s="9">
        <v>10</v>
      </c>
      <c r="C39" s="14" t="s">
        <v>95</v>
      </c>
      <c r="D39" s="10" t="s">
        <v>59</v>
      </c>
      <c r="E39" s="3">
        <v>4</v>
      </c>
      <c r="F39" s="3">
        <f>(2+1)+(0+1+1+2+1)</f>
        <v>8</v>
      </c>
      <c r="G39" s="3">
        <v>0</v>
      </c>
      <c r="H39" s="3">
        <f>0+0+0+0</f>
        <v>0</v>
      </c>
      <c r="I39" s="3">
        <f>0+1+1+5+0.5+0.5</f>
        <v>8</v>
      </c>
      <c r="J39" s="16">
        <f t="shared" si="1"/>
        <v>20</v>
      </c>
      <c r="K39" s="17"/>
    </row>
    <row r="40" spans="1:11" ht="22.5" customHeight="1">
      <c r="A40" s="13" t="s">
        <v>11</v>
      </c>
      <c r="B40" s="9">
        <v>10</v>
      </c>
      <c r="C40" s="14" t="s">
        <v>70</v>
      </c>
      <c r="D40" s="10" t="s">
        <v>57</v>
      </c>
      <c r="E40" s="3">
        <v>9</v>
      </c>
      <c r="F40" s="3">
        <f>(1+0)+(0+1+1+2+1)</f>
        <v>6</v>
      </c>
      <c r="G40" s="3">
        <v>4</v>
      </c>
      <c r="H40" s="3">
        <f>0+0+0+0</f>
        <v>0</v>
      </c>
      <c r="I40" s="3">
        <v>0</v>
      </c>
      <c r="J40" s="16">
        <f t="shared" si="1"/>
        <v>19</v>
      </c>
      <c r="K40" s="17"/>
    </row>
    <row r="41" spans="1:11" ht="38" customHeight="1">
      <c r="A41" s="13" t="s">
        <v>6</v>
      </c>
      <c r="B41" s="9">
        <v>10</v>
      </c>
      <c r="C41" s="14" t="s">
        <v>64</v>
      </c>
      <c r="D41" s="10" t="s">
        <v>65</v>
      </c>
      <c r="E41" s="3">
        <v>2</v>
      </c>
      <c r="F41" s="3">
        <f>(2+2)+(0+1+0+2+0)</f>
        <v>7</v>
      </c>
      <c r="G41" s="3">
        <v>5</v>
      </c>
      <c r="H41" s="3">
        <f>0+0+0+0</f>
        <v>0</v>
      </c>
      <c r="I41" s="3">
        <f>0+0+2+0+2+0</f>
        <v>4</v>
      </c>
      <c r="J41" s="16">
        <f t="shared" si="1"/>
        <v>18</v>
      </c>
      <c r="K41" s="17"/>
    </row>
    <row r="42" spans="1:11" ht="36" customHeight="1">
      <c r="A42" s="13" t="s">
        <v>33</v>
      </c>
      <c r="B42" s="9">
        <v>10</v>
      </c>
      <c r="C42" s="14" t="s">
        <v>64</v>
      </c>
      <c r="D42" s="10" t="s">
        <v>65</v>
      </c>
      <c r="E42" s="3">
        <v>1</v>
      </c>
      <c r="F42" s="3">
        <f>(2+2)+(0+1+0+1+0)</f>
        <v>6</v>
      </c>
      <c r="G42" s="3">
        <v>5</v>
      </c>
      <c r="H42" s="3">
        <f>0+0+0+0</f>
        <v>0</v>
      </c>
      <c r="I42" s="3">
        <f>0+1+0+3+1+0.5</f>
        <v>5.5</v>
      </c>
      <c r="J42" s="16">
        <f t="shared" si="1"/>
        <v>17.5</v>
      </c>
      <c r="K42" s="17"/>
    </row>
    <row r="43" spans="1:11" ht="48.5" customHeight="1">
      <c r="A43" s="13" t="s">
        <v>43</v>
      </c>
      <c r="B43" s="9">
        <v>10</v>
      </c>
      <c r="C43" s="14" t="s">
        <v>105</v>
      </c>
      <c r="D43" s="10" t="s">
        <v>106</v>
      </c>
      <c r="E43" s="3">
        <v>5</v>
      </c>
      <c r="F43" s="3">
        <f>(2+1)+(0+0+0+0+0)</f>
        <v>3</v>
      </c>
      <c r="G43" s="3">
        <v>5</v>
      </c>
      <c r="H43" s="3">
        <f>2+2+0+0</f>
        <v>4</v>
      </c>
      <c r="I43" s="3">
        <v>0</v>
      </c>
      <c r="J43" s="16">
        <f t="shared" si="1"/>
        <v>17</v>
      </c>
      <c r="K43" s="17"/>
    </row>
    <row r="44" spans="1:11" ht="22.5" customHeight="1">
      <c r="A44" s="13" t="s">
        <v>25</v>
      </c>
      <c r="B44" s="9">
        <v>10</v>
      </c>
      <c r="C44" s="14" t="s">
        <v>89</v>
      </c>
      <c r="D44" s="10" t="s">
        <v>90</v>
      </c>
      <c r="E44" s="3">
        <v>2</v>
      </c>
      <c r="F44" s="3">
        <f>(1+0)+(0+1+0+0+0)</f>
        <v>2</v>
      </c>
      <c r="G44" s="3">
        <v>0</v>
      </c>
      <c r="H44" s="3">
        <f>0.5+0.5+2+1</f>
        <v>4</v>
      </c>
      <c r="I44" s="3">
        <f>2+0.5+1+3+1+0.5</f>
        <v>8</v>
      </c>
      <c r="J44" s="16">
        <f t="shared" si="1"/>
        <v>16</v>
      </c>
      <c r="K44" s="17"/>
    </row>
    <row r="45" spans="1:11" ht="38" customHeight="1">
      <c r="A45" s="13" t="s">
        <v>41</v>
      </c>
      <c r="B45" s="9">
        <v>10</v>
      </c>
      <c r="C45" s="14" t="s">
        <v>64</v>
      </c>
      <c r="D45" s="10" t="s">
        <v>65</v>
      </c>
      <c r="E45" s="3">
        <v>3</v>
      </c>
      <c r="F45" s="3">
        <f>(2+1)+(0+1+1+2+1)</f>
        <v>8</v>
      </c>
      <c r="G45" s="3">
        <v>0</v>
      </c>
      <c r="H45" s="3">
        <f>0+0+0+0</f>
        <v>0</v>
      </c>
      <c r="I45" s="3">
        <f>0+1+0+1+3+0</f>
        <v>5</v>
      </c>
      <c r="J45" s="16">
        <f t="shared" si="1"/>
        <v>16</v>
      </c>
      <c r="K45" s="17"/>
    </row>
    <row r="46" spans="1:11" ht="22.5" customHeight="1">
      <c r="A46" s="13" t="s">
        <v>18</v>
      </c>
      <c r="B46" s="9">
        <v>10</v>
      </c>
      <c r="C46" s="14" t="s">
        <v>79</v>
      </c>
      <c r="D46" s="10" t="s">
        <v>57</v>
      </c>
      <c r="E46" s="3">
        <v>4</v>
      </c>
      <c r="F46" s="3">
        <f>(0+0)+(0+0+1+1+0)</f>
        <v>2</v>
      </c>
      <c r="G46" s="3">
        <v>2</v>
      </c>
      <c r="H46" s="3">
        <f>1+1+0+0</f>
        <v>2</v>
      </c>
      <c r="I46" s="3">
        <f>2+1+1</f>
        <v>4</v>
      </c>
      <c r="J46" s="16">
        <f t="shared" si="1"/>
        <v>14</v>
      </c>
      <c r="K46" s="17"/>
    </row>
    <row r="47" spans="1:11" ht="22.5" customHeight="1">
      <c r="A47" s="13" t="s">
        <v>4</v>
      </c>
      <c r="B47" s="9">
        <v>10</v>
      </c>
      <c r="C47" s="14" t="s">
        <v>61</v>
      </c>
      <c r="D47" s="10" t="s">
        <v>57</v>
      </c>
      <c r="E47" s="3">
        <v>7</v>
      </c>
      <c r="F47" s="3">
        <f>(2+1)+(0+0+0+0+0)</f>
        <v>3</v>
      </c>
      <c r="G47" s="3">
        <v>0</v>
      </c>
      <c r="H47" s="3">
        <f>0+0+0+0</f>
        <v>0</v>
      </c>
      <c r="I47" s="3">
        <f>2+0.5</f>
        <v>2.5</v>
      </c>
      <c r="J47" s="16">
        <f t="shared" si="1"/>
        <v>12.5</v>
      </c>
      <c r="K47" s="17"/>
    </row>
    <row r="48" spans="1:11" ht="22.5" customHeight="1">
      <c r="A48" s="13" t="s">
        <v>15</v>
      </c>
      <c r="B48" s="9">
        <v>10</v>
      </c>
      <c r="C48" s="14" t="s">
        <v>76</v>
      </c>
      <c r="D48" s="10" t="s">
        <v>77</v>
      </c>
      <c r="E48" s="3">
        <v>2</v>
      </c>
      <c r="F48" s="3">
        <f>(0+0)+(0+0+1+1+0)</f>
        <v>2</v>
      </c>
      <c r="G48" s="3">
        <v>0</v>
      </c>
      <c r="H48" s="3">
        <f>0+0+0+0</f>
        <v>0</v>
      </c>
      <c r="I48" s="3">
        <f>0+0.5+1+1+1+0.5</f>
        <v>4</v>
      </c>
      <c r="J48" s="16">
        <f t="shared" si="1"/>
        <v>8</v>
      </c>
      <c r="K48" s="17"/>
    </row>
    <row r="49" spans="1:11" ht="22.5" customHeight="1">
      <c r="A49" s="13" t="s">
        <v>13</v>
      </c>
      <c r="B49" s="9">
        <v>10</v>
      </c>
      <c r="C49" s="14" t="s">
        <v>73</v>
      </c>
      <c r="D49" s="10" t="s">
        <v>74</v>
      </c>
      <c r="E49" s="3">
        <v>1</v>
      </c>
      <c r="F49" s="3">
        <f>(0+0)+(0+1+1+2+0)</f>
        <v>4</v>
      </c>
      <c r="G49" s="3">
        <v>1</v>
      </c>
      <c r="H49" s="3">
        <f>0+0+0+0</f>
        <v>0</v>
      </c>
      <c r="I49" s="3">
        <v>0</v>
      </c>
      <c r="J49" s="16">
        <f t="shared" si="1"/>
        <v>6</v>
      </c>
      <c r="K49" s="17"/>
    </row>
    <row r="50" spans="1:11" ht="22.5" customHeight="1">
      <c r="A50" s="1"/>
      <c r="B50" s="1"/>
      <c r="C50" s="1"/>
      <c r="D50" s="1"/>
      <c r="E50" s="8"/>
      <c r="F50" s="8"/>
      <c r="G50" s="8"/>
      <c r="H50" s="8"/>
      <c r="I50" s="8"/>
      <c r="J50" s="8"/>
      <c r="K50" s="5"/>
    </row>
    <row r="51" spans="1:11" ht="22.5" customHeight="1"/>
  </sheetData>
  <printOptions horizontalCentered="1" gridLines="1"/>
  <pageMargins left="0.7" right="0.7" top="0.75" bottom="0.75" header="0" footer="0"/>
  <pageSetup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Неля Михайловна</dc:creator>
  <cp:lastModifiedBy>Lenovo</cp:lastModifiedBy>
  <dcterms:created xsi:type="dcterms:W3CDTF">2026-01-23T08:18:37Z</dcterms:created>
  <dcterms:modified xsi:type="dcterms:W3CDTF">2026-01-27T11:11:25Z</dcterms:modified>
</cp:coreProperties>
</file>