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5-2026\ОЛІМПІАДИ\ІІ етап\ФІЗИКА\остаточні\"/>
    </mc:Choice>
  </mc:AlternateContent>
  <bookViews>
    <workbookView xWindow="0" yWindow="0" windowWidth="19200" windowHeight="6930"/>
  </bookViews>
  <sheets>
    <sheet name="Ответы на форму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9" i="1" l="1"/>
  <c r="I48" i="1"/>
  <c r="J48" i="1" s="1"/>
  <c r="E47" i="1"/>
  <c r="J47" i="1" s="1"/>
  <c r="I46" i="1"/>
  <c r="J46" i="1" s="1"/>
  <c r="G45" i="1"/>
  <c r="E45" i="1"/>
  <c r="J45" i="1" s="1"/>
  <c r="G44" i="1"/>
  <c r="F44" i="1"/>
  <c r="E44" i="1"/>
  <c r="H43" i="1"/>
  <c r="F43" i="1"/>
  <c r="E43" i="1"/>
  <c r="F42" i="1"/>
  <c r="E42" i="1"/>
  <c r="J42" i="1" s="1"/>
  <c r="F41" i="1"/>
  <c r="E41" i="1"/>
  <c r="I40" i="1"/>
  <c r="F40" i="1"/>
  <c r="E40" i="1"/>
  <c r="F39" i="1"/>
  <c r="E39" i="1"/>
  <c r="H38" i="1"/>
  <c r="G38" i="1"/>
  <c r="F38" i="1"/>
  <c r="E38" i="1"/>
  <c r="H37" i="1"/>
  <c r="F37" i="1"/>
  <c r="E37" i="1"/>
  <c r="G36" i="1"/>
  <c r="F36" i="1"/>
  <c r="E36" i="1"/>
  <c r="H35" i="1"/>
  <c r="F35" i="1"/>
  <c r="E35" i="1"/>
  <c r="H34" i="1"/>
  <c r="G34" i="1"/>
  <c r="F34" i="1"/>
  <c r="E34" i="1"/>
  <c r="I33" i="1"/>
  <c r="H33" i="1"/>
  <c r="F33" i="1"/>
  <c r="E33" i="1"/>
  <c r="H32" i="1"/>
  <c r="F32" i="1"/>
  <c r="E32" i="1"/>
  <c r="I31" i="1"/>
  <c r="H31" i="1"/>
  <c r="G31" i="1"/>
  <c r="E31" i="1"/>
  <c r="I30" i="1"/>
  <c r="H30" i="1"/>
  <c r="G30" i="1"/>
  <c r="F30" i="1"/>
  <c r="E30" i="1"/>
  <c r="H29" i="1"/>
  <c r="G29" i="1"/>
  <c r="F29" i="1"/>
  <c r="E29" i="1"/>
  <c r="I28" i="1"/>
  <c r="H28" i="1"/>
  <c r="G28" i="1"/>
  <c r="F28" i="1"/>
  <c r="E28" i="1"/>
  <c r="I27" i="1"/>
  <c r="H27" i="1"/>
  <c r="G27" i="1"/>
  <c r="F27" i="1"/>
  <c r="E27" i="1"/>
  <c r="H26" i="1"/>
  <c r="G26" i="1"/>
  <c r="F26" i="1"/>
  <c r="E26" i="1"/>
  <c r="I25" i="1"/>
  <c r="H25" i="1"/>
  <c r="F25" i="1"/>
  <c r="E25" i="1"/>
  <c r="H24" i="1"/>
  <c r="F24" i="1"/>
  <c r="E24" i="1"/>
  <c r="H23" i="1"/>
  <c r="G23" i="1"/>
  <c r="F23" i="1"/>
  <c r="E23" i="1"/>
  <c r="I22" i="1"/>
  <c r="H22" i="1"/>
  <c r="G22" i="1"/>
  <c r="F22" i="1"/>
  <c r="E22" i="1"/>
  <c r="I21" i="1"/>
  <c r="H21" i="1"/>
  <c r="G21" i="1"/>
  <c r="F21" i="1"/>
  <c r="E21" i="1"/>
  <c r="I20" i="1"/>
  <c r="H20" i="1"/>
  <c r="G20" i="1"/>
  <c r="F20" i="1"/>
  <c r="E20" i="1"/>
  <c r="I19" i="1"/>
  <c r="H19" i="1"/>
  <c r="G19" i="1"/>
  <c r="F19" i="1"/>
  <c r="E19" i="1"/>
  <c r="I18" i="1"/>
  <c r="F18" i="1"/>
  <c r="E18" i="1"/>
  <c r="I17" i="1"/>
  <c r="G17" i="1"/>
  <c r="F17" i="1"/>
  <c r="E17" i="1"/>
  <c r="I15" i="1"/>
  <c r="H15" i="1"/>
  <c r="G15" i="1"/>
  <c r="F15" i="1"/>
  <c r="E15" i="1"/>
  <c r="I14" i="1"/>
  <c r="F14" i="1"/>
  <c r="E14" i="1"/>
  <c r="I13" i="1"/>
  <c r="H13" i="1"/>
  <c r="G13" i="1"/>
  <c r="F13" i="1"/>
  <c r="E13" i="1"/>
  <c r="I12" i="1"/>
  <c r="H12" i="1"/>
  <c r="G12" i="1"/>
  <c r="F12" i="1"/>
  <c r="E12" i="1"/>
  <c r="I11" i="1"/>
  <c r="H11" i="1"/>
  <c r="G11" i="1"/>
  <c r="F11" i="1"/>
  <c r="E11" i="1"/>
  <c r="I10" i="1"/>
  <c r="H10" i="1"/>
  <c r="G10" i="1"/>
  <c r="F10" i="1"/>
  <c r="E10" i="1"/>
  <c r="I9" i="1"/>
  <c r="H9" i="1"/>
  <c r="G9" i="1"/>
  <c r="F9" i="1"/>
  <c r="E9" i="1"/>
  <c r="H8" i="1"/>
  <c r="G8" i="1"/>
  <c r="F8" i="1"/>
  <c r="E8" i="1"/>
  <c r="I7" i="1"/>
  <c r="H7" i="1"/>
  <c r="G7" i="1"/>
  <c r="F7" i="1"/>
  <c r="E7" i="1"/>
  <c r="I6" i="1"/>
  <c r="H6" i="1"/>
  <c r="G6" i="1"/>
  <c r="F6" i="1"/>
  <c r="E6" i="1"/>
  <c r="I5" i="1"/>
  <c r="H5" i="1"/>
  <c r="G5" i="1"/>
  <c r="F5" i="1"/>
  <c r="E5" i="1"/>
  <c r="I4" i="1"/>
  <c r="H4" i="1"/>
  <c r="G4" i="1"/>
  <c r="F4" i="1"/>
  <c r="E4" i="1"/>
  <c r="I3" i="1"/>
  <c r="H3" i="1"/>
  <c r="G3" i="1"/>
  <c r="F3" i="1"/>
  <c r="E3" i="1"/>
  <c r="J41" i="1" l="1"/>
  <c r="J44" i="1"/>
  <c r="J43" i="1"/>
  <c r="J22" i="1"/>
  <c r="J26" i="1"/>
  <c r="J27" i="1"/>
  <c r="J35" i="1"/>
  <c r="J36" i="1"/>
  <c r="J40" i="1"/>
  <c r="J28" i="1"/>
  <c r="J32" i="1"/>
  <c r="J29" i="1"/>
  <c r="J30" i="1"/>
  <c r="J33" i="1"/>
  <c r="J34" i="1"/>
  <c r="J37" i="1"/>
  <c r="J31" i="1"/>
  <c r="J38" i="1"/>
  <c r="J39" i="1"/>
  <c r="J25" i="1"/>
  <c r="J24" i="1"/>
  <c r="J19" i="1"/>
  <c r="J5" i="1"/>
  <c r="J10" i="1"/>
  <c r="J17" i="1"/>
  <c r="J18" i="1"/>
  <c r="J20" i="1"/>
  <c r="J23" i="1"/>
  <c r="J21" i="1"/>
  <c r="J14" i="1"/>
  <c r="J6" i="1"/>
  <c r="J11" i="1"/>
  <c r="J3" i="1"/>
  <c r="J7" i="1"/>
  <c r="J12" i="1"/>
  <c r="J4" i="1"/>
  <c r="J8" i="1"/>
  <c r="J9" i="1"/>
  <c r="J13" i="1"/>
  <c r="J15" i="1"/>
</calcChain>
</file>

<file path=xl/sharedStrings.xml><?xml version="1.0" encoding="utf-8"?>
<sst xmlns="http://schemas.openxmlformats.org/spreadsheetml/2006/main" count="178" uniqueCount="115">
  <si>
    <t>Сума</t>
  </si>
  <si>
    <t>Боцула Дарина Олегівна</t>
  </si>
  <si>
    <t>Бунченко Анастасія Віталіївна</t>
  </si>
  <si>
    <t>Вініченко Олександр Олександрович</t>
  </si>
  <si>
    <t>Владико Кирило Павлович</t>
  </si>
  <si>
    <t>Голова Марія Олександрівна</t>
  </si>
  <si>
    <t>Гоцуляк Петро Іванович</t>
  </si>
  <si>
    <t>Дербак Мирослав Сергійович</t>
  </si>
  <si>
    <t>Жигула Вероніка Віталіївна</t>
  </si>
  <si>
    <t>Килименко Олександр Григорович</t>
  </si>
  <si>
    <t>Кінаш Артем Євгенович</t>
  </si>
  <si>
    <t>Коваленко Єгор Дмитрович</t>
  </si>
  <si>
    <t>Ковтунов Михайло Артемович</t>
  </si>
  <si>
    <t>Колонтаєвська Анастасія</t>
  </si>
  <si>
    <t>Котляр Артем Максимович</t>
  </si>
  <si>
    <t>Крамаренко Марк Андрійович</t>
  </si>
  <si>
    <t>Красівський Іван Сергійович</t>
  </si>
  <si>
    <t>Кудревич Тамара Анріївна</t>
  </si>
  <si>
    <t>Лапенко В'ячеслав Олександрович</t>
  </si>
  <si>
    <t>Лисова Вікторія Миколаївна</t>
  </si>
  <si>
    <t>Лукаш Людмила Олександрівна</t>
  </si>
  <si>
    <t>Маловічко Іван Олександрович</t>
  </si>
  <si>
    <t>Мороз Віолета Юріївна</t>
  </si>
  <si>
    <t>Мороз Даріна Віталіївна</t>
  </si>
  <si>
    <t>Нога Софія Сергіївна</t>
  </si>
  <si>
    <t>Осін Ростислав Андрійович</t>
  </si>
  <si>
    <t>Остапенко Дар'я Олександрівна</t>
  </si>
  <si>
    <t>Подоляк Наталія Іванівна</t>
  </si>
  <si>
    <t>Половинко Анастасія Михайлівна</t>
  </si>
  <si>
    <t>Рибкін Платон Дмитрович</t>
  </si>
  <si>
    <t>Ріяко Катерина Дмитріївна</t>
  </si>
  <si>
    <t>Романов Єгор Олегович</t>
  </si>
  <si>
    <t>Рябих Яна Вікторівна</t>
  </si>
  <si>
    <t>Сініцина Кароліна Олександрівна</t>
  </si>
  <si>
    <t>Сірик Віталій Дмитрович</t>
  </si>
  <si>
    <t>Скляр Єлизавета Юріївна</t>
  </si>
  <si>
    <t>Скоробогатова Катерина Сергіївна</t>
  </si>
  <si>
    <t>Стрікачова Ірина Олександрівна</t>
  </si>
  <si>
    <t>Тихомиров Олексій Андрійович</t>
  </si>
  <si>
    <t>Трофімов Оскар Олексійович</t>
  </si>
  <si>
    <t>Фадеєв Олександр Сергійович</t>
  </si>
  <si>
    <t>Федоров Денис Юрійович</t>
  </si>
  <si>
    <t>Федоскіна Соф'я Владиславівна</t>
  </si>
  <si>
    <t>Фидоренко Артем Олександрович</t>
  </si>
  <si>
    <t>Філатова Аріна Вячеславівна</t>
  </si>
  <si>
    <t>Філімон Ніколетта Андріївна</t>
  </si>
  <si>
    <t>Чуканов Тимур Артемович</t>
  </si>
  <si>
    <t>Шеліхов Владислав Олександрович</t>
  </si>
  <si>
    <t>ПІП</t>
  </si>
  <si>
    <t>Клас</t>
  </si>
  <si>
    <t>Заклад освіти</t>
  </si>
  <si>
    <t>Локація</t>
  </si>
  <si>
    <t>Задача 1</t>
  </si>
  <si>
    <t>Задача 2</t>
  </si>
  <si>
    <t>Задача 3</t>
  </si>
  <si>
    <t>Задача 4</t>
  </si>
  <si>
    <t>Експеримент</t>
  </si>
  <si>
    <t>Комунальний заклад «Харківський фізико-математичний науковий ліцей № 27 Харківської міської ради»</t>
  </si>
  <si>
    <t>Новобаварський район</t>
  </si>
  <si>
    <t>Берестинський ліцей № 5 Берестинської міської ради Харківської області</t>
  </si>
  <si>
    <t>Берестинська опорна локація</t>
  </si>
  <si>
    <t>Комунальний заклад «Харківський ліцей № 162 Харківської міської ради»</t>
  </si>
  <si>
    <t>Комунальний заклад «Харківський ліцей № 100 Харківської міської ради»</t>
  </si>
  <si>
    <t>Київський район</t>
  </si>
  <si>
    <t>Комунальний заклад «Харківський ліцей № 144 Харківської міської ради»</t>
  </si>
  <si>
    <t>Салтівський район</t>
  </si>
  <si>
    <t>Комунальний заклад «Харківський ліцей № 163 Харківської міської ради»</t>
  </si>
  <si>
    <t>Індустріальний район</t>
  </si>
  <si>
    <t>Комунальний заклад «Харківський ліцей № 150 Харківської міської ради»</t>
  </si>
  <si>
    <t>Шевченківський район</t>
  </si>
  <si>
    <t>Комунальний заклад «Слобожанський ліцей № 2» Слобожанської міської ради Чугуївського району Харківської області</t>
  </si>
  <si>
    <t>Чугуївська опорна локація</t>
  </si>
  <si>
    <t>Комунальний заклад «Харківський університетський ліцей Харківської міської ради»</t>
  </si>
  <si>
    <t>Комунального закладу «Харківський науковий ліцей "Обдарованість"» Харківської обласної ради</t>
  </si>
  <si>
    <t>Обдарованість</t>
  </si>
  <si>
    <t>Комунальний заклад «Харківський ліцей № 169 Харківської міської ради»</t>
  </si>
  <si>
    <t>Товариство з обмеженою відповідальністю «Приватний заклад Ліцей Професіонал» Харківської області»</t>
  </si>
  <si>
    <t>Комунальний заклад «Харківський ліцей № 82 Харківської міської ради»</t>
  </si>
  <si>
    <t>Слобідський район</t>
  </si>
  <si>
    <t>Балаклійський ліцей № 1 ім. О.А.Тризни Балаклійської міської ради Харківської області</t>
  </si>
  <si>
    <t>Ізюмська опорна локація</t>
  </si>
  <si>
    <t>Комунальний заклад «Харківський ліцей № 95 Харківської міської ради»</t>
  </si>
  <si>
    <t>КЗ «Кислівський ліцей Петропавлівської сільської ради Куп’янського району Харківської області»</t>
  </si>
  <si>
    <t>Куп'янська опорна локація</t>
  </si>
  <si>
    <t>Комунальний заклад «Харківський ліцей № 124 Харківської міської ради»</t>
  </si>
  <si>
    <t>Савинський ліцей Савинської селищної ради Ізюмського району Харківської області</t>
  </si>
  <si>
    <t>Комунальний заклад «Геніївська загальноосвітня школа І-ІІІ ступенів» Слобожанської міської ради Чугуївського району Харківської області</t>
  </si>
  <si>
    <t>Ізюмський ліцей №3 Ізюмської міської ради</t>
  </si>
  <si>
    <t>КЗ «Лозівський ліцей № 1» Лозівської міської ради Харківської області</t>
  </si>
  <si>
    <t>Лозівська опорна локація</t>
  </si>
  <si>
    <t>Комунальний заклад «Харківський ліцей № 87 Харківської міської ради»</t>
  </si>
  <si>
    <t>Холодногірський район</t>
  </si>
  <si>
    <t>Комунальний заклад «Харківський ліцей № 142 Харківської міської ради»</t>
  </si>
  <si>
    <t>Куп’янский ліцей № 1 Куп’янської міської ради Харківської області</t>
  </si>
  <si>
    <t>Комунальний заклад «Харківський ліцей № 11 імені Данила Дідика Харківської міської ради»</t>
  </si>
  <si>
    <t>Немишлянський район</t>
  </si>
  <si>
    <t>Комунальний заклад «Харківська гімназія № 17 Харківської міської ради»</t>
  </si>
  <si>
    <t>Комунальний заклад «Харківський фаховий коледж спортивного профілю» Харківської обласної ради</t>
  </si>
  <si>
    <t>Заклади обласного підпорядкування</t>
  </si>
  <si>
    <t>Комунальний заклад «Харківський ліцей № 103 Харківської міської ради»</t>
  </si>
  <si>
    <t>Комунальний заклад «Харківський ліцей № 31 Харківської міської ради»</t>
  </si>
  <si>
    <t>Комунальний заклад «Зміївський ліцей № 1» Зміївської міської ради Чугуївського району Харківської області</t>
  </si>
  <si>
    <t>Комунальний заклад «Харківський ліцей № 161 «Імпульс» Харківської міської ради»</t>
  </si>
  <si>
    <t>Комунальний заклад «Гришівський ліцей» Сахновщинської селищної ради</t>
  </si>
  <si>
    <t>Кегичівська опорна локація</t>
  </si>
  <si>
    <t>Комунальний заклад «Харківський ліцей № 89 Харківської міської ради»</t>
  </si>
  <si>
    <t>Комунальний заклад «Харківський ліцей № 134 Харківської міської ради»</t>
  </si>
  <si>
    <t>Комунальний заклад «Харківський академічний ліцей № 45 Харківської міської ради»</t>
  </si>
  <si>
    <r>
      <t>max 55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балів</t>
    </r>
  </si>
  <si>
    <t>11 клас</t>
  </si>
  <si>
    <t>І</t>
  </si>
  <si>
    <t>ІІ</t>
  </si>
  <si>
    <t>ІІІ</t>
  </si>
  <si>
    <t>місце</t>
  </si>
  <si>
    <t>Остаточні результати ІІ (обласного) етапу Всеукраїнської учнівської олімпіади з ФІЗИКИ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</si>
</sst>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sz val="10"/>
      <color rgb="FF434343"/>
      <name val="Roboto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10"/>
      <name val="Arial"/>
      <family val="2"/>
      <charset val="204"/>
      <scheme val="minor"/>
    </font>
    <font>
      <sz val="10"/>
      <name val="Arial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5B3F8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right"/>
    </xf>
    <xf numFmtId="0" fontId="6" fillId="0" borderId="0" xfId="0" applyFont="1" applyAlignment="1"/>
    <xf numFmtId="0" fontId="5" fillId="2" borderId="0" xfId="0" applyFont="1" applyFill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/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11">
    <dxf>
      <alignment horizontal="center" vertical="center" textRotation="0" wrapText="0" indent="0" justifyLastLine="0" shrinkToFit="0" readingOrder="0"/>
      <border outline="0">
        <left style="thin">
          <color rgb="FF000000"/>
        </left>
      </border>
    </dxf>
    <dxf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</border>
    </dxf>
    <dxf>
      <alignment horizontal="center" vertical="center" textRotation="0" wrapText="0" indent="0" justifyLastLine="0" shrinkToFit="0" readingOrder="0"/>
      <border outline="0">
        <left/>
        <right style="thin">
          <color rgb="FF000000"/>
        </right>
      </border>
    </dxf>
    <dxf>
      <alignment horizontal="left" vertical="center" textRotation="0" wrapText="0" indent="0" justifyLastLine="0" shrinkToFit="0" readingOrder="0"/>
      <border outline="0">
        <left/>
        <right style="thin">
          <color rgb="FF000000"/>
        </right>
      </border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 tint="-0.1499984740745262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>
      <tableStyleElement type="wholeTable" size="0" dxfId="10"/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Form_Responses" displayName="Form_Responses" ref="A1:G49" headerRowDxfId="6">
  <tableColumns count="7">
    <tableColumn id="2" name="ПІП"/>
    <tableColumn id="4" name="Клас" dataDxfId="5"/>
    <tableColumn id="5" name="Заклад освіти" dataDxfId="4"/>
    <tableColumn id="6" name="Локація" dataDxfId="3"/>
    <tableColumn id="9" name="Задача 1" dataDxfId="2"/>
    <tableColumn id="10" name="Задача 2" dataDxfId="1"/>
    <tableColumn id="11" name="Задача 3" dataDxfId="0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9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12.54296875" defaultRowHeight="15.75" customHeight="1"/>
  <cols>
    <col min="1" max="1" width="22.36328125" customWidth="1"/>
    <col min="2" max="2" width="6.7265625" customWidth="1"/>
    <col min="3" max="3" width="33.1796875" customWidth="1"/>
    <col min="4" max="4" width="18.7265625" customWidth="1"/>
    <col min="5" max="5" width="8.54296875" customWidth="1"/>
    <col min="6" max="6" width="8.453125" customWidth="1"/>
    <col min="7" max="7" width="8.54296875" customWidth="1"/>
    <col min="8" max="8" width="8.453125" customWidth="1"/>
    <col min="9" max="9" width="12.26953125" customWidth="1"/>
    <col min="10" max="10" width="6.453125" customWidth="1"/>
    <col min="11" max="11" width="7.08984375" customWidth="1"/>
  </cols>
  <sheetData>
    <row r="1" spans="1:11" ht="22.5" customHeight="1">
      <c r="A1" s="1" t="s">
        <v>48</v>
      </c>
      <c r="B1" s="1" t="s">
        <v>49</v>
      </c>
      <c r="C1" s="1" t="s">
        <v>50</v>
      </c>
      <c r="D1" s="1" t="s">
        <v>51</v>
      </c>
      <c r="E1" s="1" t="s">
        <v>52</v>
      </c>
      <c r="F1" s="1" t="s">
        <v>53</v>
      </c>
      <c r="G1" s="1" t="s">
        <v>54</v>
      </c>
      <c r="H1" s="1" t="s">
        <v>55</v>
      </c>
      <c r="I1" s="1" t="s">
        <v>56</v>
      </c>
      <c r="J1" s="1" t="s">
        <v>0</v>
      </c>
      <c r="K1" s="4" t="s">
        <v>113</v>
      </c>
    </row>
    <row r="2" spans="1:11" ht="46" customHeight="1">
      <c r="A2" s="2" t="s">
        <v>109</v>
      </c>
      <c r="B2" s="1"/>
      <c r="C2" s="5" t="s">
        <v>114</v>
      </c>
      <c r="D2" s="1"/>
      <c r="E2" s="1"/>
      <c r="F2" s="1"/>
      <c r="G2" s="1"/>
      <c r="H2" s="1"/>
      <c r="I2" s="1"/>
      <c r="J2" s="3" t="s">
        <v>108</v>
      </c>
    </row>
    <row r="3" spans="1:11" ht="37.5" customHeight="1">
      <c r="A3" s="16" t="s">
        <v>42</v>
      </c>
      <c r="B3" s="6">
        <v>11</v>
      </c>
      <c r="C3" s="18" t="s">
        <v>102</v>
      </c>
      <c r="D3" s="7" t="s">
        <v>95</v>
      </c>
      <c r="E3" s="8">
        <f>1+1+1+2+2+1+1+1</f>
        <v>10</v>
      </c>
      <c r="F3" s="8">
        <f>2+4+4</f>
        <v>10</v>
      </c>
      <c r="G3" s="8">
        <f>2+4+4</f>
        <v>10</v>
      </c>
      <c r="H3" s="8">
        <f>3+1+1+4</f>
        <v>9</v>
      </c>
      <c r="I3" s="8">
        <f>4+3+2</f>
        <v>9</v>
      </c>
      <c r="J3" s="11">
        <f t="shared" ref="J3:J15" si="0">E3+F3+G3+H3+I3</f>
        <v>48</v>
      </c>
      <c r="K3" s="13" t="s">
        <v>110</v>
      </c>
    </row>
    <row r="4" spans="1:11" ht="32.5" customHeight="1">
      <c r="A4" s="16" t="s">
        <v>18</v>
      </c>
      <c r="B4" s="6">
        <v>11</v>
      </c>
      <c r="C4" s="18" t="s">
        <v>79</v>
      </c>
      <c r="D4" s="7" t="s">
        <v>80</v>
      </c>
      <c r="E4" s="8">
        <f>0+1+1+2+2+1+1+1</f>
        <v>9</v>
      </c>
      <c r="F4" s="8">
        <f t="shared" ref="F4:F9" si="1">2+4+4</f>
        <v>10</v>
      </c>
      <c r="G4" s="8">
        <f>2+3+3</f>
        <v>8</v>
      </c>
      <c r="H4" s="8">
        <f>3+1+1+5</f>
        <v>10</v>
      </c>
      <c r="I4" s="8">
        <f>5+2+2</f>
        <v>9</v>
      </c>
      <c r="J4" s="11">
        <f t="shared" si="0"/>
        <v>46</v>
      </c>
      <c r="K4" s="13" t="s">
        <v>110</v>
      </c>
    </row>
    <row r="5" spans="1:11" ht="22.5" customHeight="1">
      <c r="A5" s="16" t="s">
        <v>47</v>
      </c>
      <c r="B5" s="6">
        <v>11</v>
      </c>
      <c r="C5" s="18" t="s">
        <v>75</v>
      </c>
      <c r="D5" s="7" t="s">
        <v>69</v>
      </c>
      <c r="E5" s="8">
        <f>0+1+1+2+2+1+1+1</f>
        <v>9</v>
      </c>
      <c r="F5" s="8">
        <f t="shared" si="1"/>
        <v>10</v>
      </c>
      <c r="G5" s="8">
        <f>2+3+2</f>
        <v>7</v>
      </c>
      <c r="H5" s="8">
        <f>2+1+0+4</f>
        <v>7</v>
      </c>
      <c r="I5" s="8">
        <f>4+2+1</f>
        <v>7</v>
      </c>
      <c r="J5" s="11">
        <f t="shared" si="0"/>
        <v>40</v>
      </c>
      <c r="K5" s="13" t="s">
        <v>110</v>
      </c>
    </row>
    <row r="6" spans="1:11" ht="35.5" customHeight="1">
      <c r="A6" s="16" t="s">
        <v>3</v>
      </c>
      <c r="B6" s="6">
        <v>11</v>
      </c>
      <c r="C6" s="18" t="s">
        <v>57</v>
      </c>
      <c r="D6" s="7" t="s">
        <v>58</v>
      </c>
      <c r="E6" s="8">
        <f>1+1+0+2+2+1+1+0</f>
        <v>8</v>
      </c>
      <c r="F6" s="8">
        <f t="shared" si="1"/>
        <v>10</v>
      </c>
      <c r="G6" s="8">
        <f>2+3+3</f>
        <v>8</v>
      </c>
      <c r="H6" s="8">
        <f>3+1+1</f>
        <v>5</v>
      </c>
      <c r="I6" s="8">
        <f>4+3+0</f>
        <v>7</v>
      </c>
      <c r="J6" s="11">
        <f t="shared" si="0"/>
        <v>38</v>
      </c>
      <c r="K6" s="13" t="s">
        <v>110</v>
      </c>
    </row>
    <row r="7" spans="1:11" ht="22.5" customHeight="1">
      <c r="A7" s="16" t="s">
        <v>21</v>
      </c>
      <c r="B7" s="6">
        <v>11</v>
      </c>
      <c r="C7" s="18" t="s">
        <v>84</v>
      </c>
      <c r="D7" s="7" t="s">
        <v>65</v>
      </c>
      <c r="E7" s="8">
        <f>0+1+1+2+2+1+1+1</f>
        <v>9</v>
      </c>
      <c r="F7" s="8">
        <f t="shared" si="1"/>
        <v>10</v>
      </c>
      <c r="G7" s="8">
        <f>2+2+2</f>
        <v>6</v>
      </c>
      <c r="H7" s="8">
        <f>3+1+1+5</f>
        <v>10</v>
      </c>
      <c r="I7" s="8">
        <f>1+1+0</f>
        <v>2</v>
      </c>
      <c r="J7" s="11">
        <f t="shared" si="0"/>
        <v>37</v>
      </c>
      <c r="K7" s="13" t="s">
        <v>111</v>
      </c>
    </row>
    <row r="8" spans="1:11" ht="22.5" customHeight="1">
      <c r="A8" s="16" t="s">
        <v>44</v>
      </c>
      <c r="B8" s="6">
        <v>11</v>
      </c>
      <c r="C8" s="18" t="s">
        <v>105</v>
      </c>
      <c r="D8" s="7" t="s">
        <v>69</v>
      </c>
      <c r="E8" s="8">
        <f>0+1+1+2+2+1+1+1</f>
        <v>9</v>
      </c>
      <c r="F8" s="8">
        <f t="shared" si="1"/>
        <v>10</v>
      </c>
      <c r="G8" s="8">
        <f>2+2+2</f>
        <v>6</v>
      </c>
      <c r="H8" s="8">
        <f>3+1+1+5</f>
        <v>10</v>
      </c>
      <c r="I8" s="8">
        <v>2</v>
      </c>
      <c r="J8" s="11">
        <f t="shared" si="0"/>
        <v>37</v>
      </c>
      <c r="K8" s="13" t="s">
        <v>111</v>
      </c>
    </row>
    <row r="9" spans="1:11" ht="33.5" customHeight="1">
      <c r="A9" s="16" t="s">
        <v>35</v>
      </c>
      <c r="B9" s="6">
        <v>11</v>
      </c>
      <c r="C9" s="18" t="s">
        <v>79</v>
      </c>
      <c r="D9" s="7" t="s">
        <v>80</v>
      </c>
      <c r="E9" s="8">
        <f>0+1+1+2+2+1+1+1</f>
        <v>9</v>
      </c>
      <c r="F9" s="8">
        <f t="shared" si="1"/>
        <v>10</v>
      </c>
      <c r="G9" s="8">
        <f>1+2+1</f>
        <v>4</v>
      </c>
      <c r="H9" s="8">
        <f>2+1+1+3</f>
        <v>7</v>
      </c>
      <c r="I9" s="8">
        <f>3+1</f>
        <v>4</v>
      </c>
      <c r="J9" s="11">
        <f t="shared" si="0"/>
        <v>34</v>
      </c>
      <c r="K9" s="13" t="s">
        <v>111</v>
      </c>
    </row>
    <row r="10" spans="1:11" ht="22.5" customHeight="1">
      <c r="A10" s="16" t="s">
        <v>17</v>
      </c>
      <c r="B10" s="6">
        <v>11</v>
      </c>
      <c r="C10" s="18" t="s">
        <v>105</v>
      </c>
      <c r="D10" s="7" t="s">
        <v>69</v>
      </c>
      <c r="E10" s="8">
        <f>1+1+1+2+0+0+1+1</f>
        <v>7</v>
      </c>
      <c r="F10" s="8">
        <f>2+4+0</f>
        <v>6</v>
      </c>
      <c r="G10" s="8">
        <f>2+2+1</f>
        <v>5</v>
      </c>
      <c r="H10" s="8">
        <f>3+1+1+5</f>
        <v>10</v>
      </c>
      <c r="I10" s="8">
        <f>3+2</f>
        <v>5</v>
      </c>
      <c r="J10" s="11">
        <f t="shared" si="0"/>
        <v>33</v>
      </c>
      <c r="K10" s="13" t="s">
        <v>111</v>
      </c>
    </row>
    <row r="11" spans="1:11" ht="22.5" customHeight="1">
      <c r="A11" s="16" t="s">
        <v>30</v>
      </c>
      <c r="B11" s="6">
        <v>11</v>
      </c>
      <c r="C11" s="18" t="s">
        <v>92</v>
      </c>
      <c r="D11" s="7" t="s">
        <v>65</v>
      </c>
      <c r="E11" s="8">
        <f>0+1+1+2+2+1+1+1</f>
        <v>9</v>
      </c>
      <c r="F11" s="8">
        <f>2+3+2.5</f>
        <v>7.5</v>
      </c>
      <c r="G11" s="8">
        <f>1+1+3</f>
        <v>5</v>
      </c>
      <c r="H11" s="8">
        <f>3+1+0+0</f>
        <v>4</v>
      </c>
      <c r="I11" s="8">
        <f>3+2+2</f>
        <v>7</v>
      </c>
      <c r="J11" s="11">
        <f t="shared" si="0"/>
        <v>32.5</v>
      </c>
      <c r="K11" s="13" t="s">
        <v>111</v>
      </c>
    </row>
    <row r="12" spans="1:11" ht="22.5" customHeight="1">
      <c r="A12" s="16" t="s">
        <v>7</v>
      </c>
      <c r="B12" s="6">
        <v>11</v>
      </c>
      <c r="C12" s="18" t="s">
        <v>64</v>
      </c>
      <c r="D12" s="7" t="s">
        <v>65</v>
      </c>
      <c r="E12" s="8">
        <f>0+1+1+2+2+1+1+0</f>
        <v>8</v>
      </c>
      <c r="F12" s="8">
        <f>2+4+0</f>
        <v>6</v>
      </c>
      <c r="G12" s="8">
        <f>2+1+2</f>
        <v>5</v>
      </c>
      <c r="H12" s="8">
        <f>3+1+1+0</f>
        <v>5</v>
      </c>
      <c r="I12" s="8">
        <f>4+2+0</f>
        <v>6</v>
      </c>
      <c r="J12" s="11">
        <f t="shared" si="0"/>
        <v>30</v>
      </c>
      <c r="K12" s="13" t="s">
        <v>111</v>
      </c>
    </row>
    <row r="13" spans="1:11" ht="22.5" customHeight="1">
      <c r="A13" s="16" t="s">
        <v>27</v>
      </c>
      <c r="B13" s="6">
        <v>11</v>
      </c>
      <c r="C13" s="18" t="s">
        <v>88</v>
      </c>
      <c r="D13" s="7" t="s">
        <v>89</v>
      </c>
      <c r="E13" s="8">
        <f>0+1+1+2+2+1+1+1</f>
        <v>9</v>
      </c>
      <c r="F13" s="8">
        <f>2+3+3</f>
        <v>8</v>
      </c>
      <c r="G13" s="8">
        <f>2+2+2</f>
        <v>6</v>
      </c>
      <c r="H13" s="8">
        <f>1+1+0+0</f>
        <v>2</v>
      </c>
      <c r="I13" s="8">
        <f>2+2+1</f>
        <v>5</v>
      </c>
      <c r="J13" s="11">
        <f t="shared" si="0"/>
        <v>30</v>
      </c>
      <c r="K13" s="13" t="s">
        <v>111</v>
      </c>
    </row>
    <row r="14" spans="1:11" ht="37" customHeight="1">
      <c r="A14" s="16" t="s">
        <v>39</v>
      </c>
      <c r="B14" s="6">
        <v>11</v>
      </c>
      <c r="C14" s="18" t="s">
        <v>73</v>
      </c>
      <c r="D14" s="7" t="s">
        <v>74</v>
      </c>
      <c r="E14" s="8">
        <f>1+1+1+1+0+0+0+0</f>
        <v>4</v>
      </c>
      <c r="F14" s="8">
        <f>2+4+4</f>
        <v>10</v>
      </c>
      <c r="G14" s="15">
        <v>7</v>
      </c>
      <c r="H14" s="8">
        <v>0</v>
      </c>
      <c r="I14" s="8">
        <f>4+3</f>
        <v>7</v>
      </c>
      <c r="J14" s="14">
        <f t="shared" si="0"/>
        <v>28</v>
      </c>
      <c r="K14" s="13" t="s">
        <v>111</v>
      </c>
    </row>
    <row r="15" spans="1:11" ht="22.5" customHeight="1">
      <c r="A15" s="16" t="s">
        <v>5</v>
      </c>
      <c r="B15" s="6">
        <v>11</v>
      </c>
      <c r="C15" s="18" t="s">
        <v>61</v>
      </c>
      <c r="D15" s="7" t="s">
        <v>58</v>
      </c>
      <c r="E15" s="8">
        <f>0+1+0+2+2+1+1+1</f>
        <v>8</v>
      </c>
      <c r="F15" s="8">
        <f>2+4+3.5</f>
        <v>9.5</v>
      </c>
      <c r="G15" s="8">
        <f>1+0.5+0.5</f>
        <v>2</v>
      </c>
      <c r="H15" s="8">
        <f>1+1+0+0</f>
        <v>2</v>
      </c>
      <c r="I15" s="8">
        <f>2+0+3</f>
        <v>5</v>
      </c>
      <c r="J15" s="11">
        <f t="shared" si="0"/>
        <v>26.5</v>
      </c>
      <c r="K15" s="13" t="s">
        <v>112</v>
      </c>
    </row>
    <row r="16" spans="1:11" ht="38" customHeight="1">
      <c r="A16" s="17" t="s">
        <v>1</v>
      </c>
      <c r="B16" s="9">
        <v>11</v>
      </c>
      <c r="C16" s="19" t="s">
        <v>57</v>
      </c>
      <c r="D16" s="7" t="s">
        <v>58</v>
      </c>
      <c r="E16" s="8">
        <v>4</v>
      </c>
      <c r="F16" s="15">
        <v>4.5</v>
      </c>
      <c r="G16" s="15">
        <v>8.5</v>
      </c>
      <c r="H16" s="8">
        <v>9</v>
      </c>
      <c r="I16" s="8">
        <v>0</v>
      </c>
      <c r="J16" s="14">
        <v>26</v>
      </c>
      <c r="K16" s="13" t="s">
        <v>112</v>
      </c>
    </row>
    <row r="17" spans="1:11" ht="35" customHeight="1">
      <c r="A17" s="16" t="s">
        <v>41</v>
      </c>
      <c r="B17" s="6">
        <v>11</v>
      </c>
      <c r="C17" s="18" t="s">
        <v>73</v>
      </c>
      <c r="D17" s="7" t="s">
        <v>74</v>
      </c>
      <c r="E17" s="8">
        <f>1+1+1+2+2+1+1+1</f>
        <v>10</v>
      </c>
      <c r="F17" s="8">
        <f>2+4+0.5</f>
        <v>6.5</v>
      </c>
      <c r="G17" s="8">
        <f>2+2+0</f>
        <v>4</v>
      </c>
      <c r="H17" s="8">
        <v>0</v>
      </c>
      <c r="I17" s="8">
        <f>4+1</f>
        <v>5</v>
      </c>
      <c r="J17" s="11">
        <f t="shared" ref="J17:J49" si="2">E17+F17+G17+H17+I17</f>
        <v>25.5</v>
      </c>
      <c r="K17" s="13" t="s">
        <v>112</v>
      </c>
    </row>
    <row r="18" spans="1:11" ht="22.5" customHeight="1">
      <c r="A18" s="16" t="s">
        <v>19</v>
      </c>
      <c r="B18" s="6">
        <v>11</v>
      </c>
      <c r="C18" s="18" t="s">
        <v>81</v>
      </c>
      <c r="D18" s="7" t="s">
        <v>78</v>
      </c>
      <c r="E18" s="8">
        <f>0+1+1+2+2+1+1+1</f>
        <v>9</v>
      </c>
      <c r="F18" s="8">
        <f>2+4+4</f>
        <v>10</v>
      </c>
      <c r="G18" s="8">
        <v>0</v>
      </c>
      <c r="H18" s="8">
        <v>0</v>
      </c>
      <c r="I18" s="8">
        <f>3+1</f>
        <v>4</v>
      </c>
      <c r="J18" s="11">
        <f t="shared" si="2"/>
        <v>23</v>
      </c>
      <c r="K18" s="13" t="s">
        <v>112</v>
      </c>
    </row>
    <row r="19" spans="1:11" ht="34" customHeight="1">
      <c r="A19" s="16" t="s">
        <v>4</v>
      </c>
      <c r="B19" s="6">
        <v>11</v>
      </c>
      <c r="C19" s="18" t="s">
        <v>57</v>
      </c>
      <c r="D19" s="7" t="s">
        <v>58</v>
      </c>
      <c r="E19" s="8">
        <f>1+1+1+1+0+0+0+0</f>
        <v>4</v>
      </c>
      <c r="F19" s="8">
        <f>2+1+0</f>
        <v>3</v>
      </c>
      <c r="G19" s="8">
        <f>1+3+3</f>
        <v>7</v>
      </c>
      <c r="H19" s="8">
        <f>1+1+1+0</f>
        <v>3</v>
      </c>
      <c r="I19" s="8">
        <f>3+2.5+0</f>
        <v>5.5</v>
      </c>
      <c r="J19" s="11">
        <f t="shared" si="2"/>
        <v>22.5</v>
      </c>
      <c r="K19" s="13" t="s">
        <v>112</v>
      </c>
    </row>
    <row r="20" spans="1:11" ht="31.5" customHeight="1">
      <c r="A20" s="16" t="s">
        <v>31</v>
      </c>
      <c r="B20" s="6">
        <v>11</v>
      </c>
      <c r="C20" s="18" t="s">
        <v>72</v>
      </c>
      <c r="D20" s="7" t="s">
        <v>69</v>
      </c>
      <c r="E20" s="8">
        <f>1+1+1+0+0+0+0+0</f>
        <v>3</v>
      </c>
      <c r="F20" s="8">
        <f>1+0+0</f>
        <v>1</v>
      </c>
      <c r="G20" s="8">
        <f>1+0+0.5</f>
        <v>1.5</v>
      </c>
      <c r="H20" s="8">
        <f>3+1+1+3</f>
        <v>8</v>
      </c>
      <c r="I20" s="8">
        <f>4+2+3</f>
        <v>9</v>
      </c>
      <c r="J20" s="11">
        <f t="shared" si="2"/>
        <v>22.5</v>
      </c>
      <c r="K20" s="13" t="s">
        <v>112</v>
      </c>
    </row>
    <row r="21" spans="1:11" ht="48.5" customHeight="1">
      <c r="A21" s="16" t="s">
        <v>10</v>
      </c>
      <c r="B21" s="6">
        <v>11</v>
      </c>
      <c r="C21" s="18" t="s">
        <v>70</v>
      </c>
      <c r="D21" s="7" t="s">
        <v>71</v>
      </c>
      <c r="E21" s="8">
        <f>0+1+1+1+0+0+0+0</f>
        <v>3</v>
      </c>
      <c r="F21" s="8">
        <f>2+1+0</f>
        <v>3</v>
      </c>
      <c r="G21" s="8">
        <f>1+1+4</f>
        <v>6</v>
      </c>
      <c r="H21" s="8">
        <f>1+1+1+2</f>
        <v>5</v>
      </c>
      <c r="I21" s="8">
        <f>4+1+0</f>
        <v>5</v>
      </c>
      <c r="J21" s="11">
        <f t="shared" si="2"/>
        <v>22</v>
      </c>
      <c r="K21" s="13" t="s">
        <v>112</v>
      </c>
    </row>
    <row r="22" spans="1:11" ht="22.5" customHeight="1">
      <c r="A22" s="16" t="s">
        <v>13</v>
      </c>
      <c r="B22" s="6">
        <v>11</v>
      </c>
      <c r="C22" s="18" t="s">
        <v>75</v>
      </c>
      <c r="D22" s="7" t="s">
        <v>69</v>
      </c>
      <c r="E22" s="8">
        <f>0+1+1+1+0+0+0+0</f>
        <v>3</v>
      </c>
      <c r="F22" s="8">
        <f>2+1+0</f>
        <v>3</v>
      </c>
      <c r="G22" s="8">
        <f>1+1+3</f>
        <v>5</v>
      </c>
      <c r="H22" s="8">
        <f>1+1+1+1</f>
        <v>4</v>
      </c>
      <c r="I22" s="8">
        <f>2+2+2</f>
        <v>6</v>
      </c>
      <c r="J22" s="11">
        <f t="shared" si="2"/>
        <v>21</v>
      </c>
      <c r="K22" s="13" t="s">
        <v>112</v>
      </c>
    </row>
    <row r="23" spans="1:11" ht="46.5" customHeight="1">
      <c r="A23" s="16" t="s">
        <v>40</v>
      </c>
      <c r="B23" s="6">
        <v>11</v>
      </c>
      <c r="C23" s="18" t="s">
        <v>101</v>
      </c>
      <c r="D23" s="7" t="s">
        <v>71</v>
      </c>
      <c r="E23" s="8">
        <f>1+1+1+1+0+0+0+0</f>
        <v>4</v>
      </c>
      <c r="F23" s="8">
        <f>1+0+1.5</f>
        <v>2.5</v>
      </c>
      <c r="G23" s="8">
        <f>1.5+2+2</f>
        <v>5.5</v>
      </c>
      <c r="H23" s="8">
        <f>3+0+1+2</f>
        <v>6</v>
      </c>
      <c r="I23" s="8">
        <v>3</v>
      </c>
      <c r="J23" s="11">
        <f t="shared" si="2"/>
        <v>21</v>
      </c>
      <c r="K23" s="13" t="s">
        <v>112</v>
      </c>
    </row>
    <row r="24" spans="1:11" ht="22.5" customHeight="1">
      <c r="A24" s="16" t="s">
        <v>8</v>
      </c>
      <c r="B24" s="6">
        <v>11</v>
      </c>
      <c r="C24" s="18" t="s">
        <v>66</v>
      </c>
      <c r="D24" s="7" t="s">
        <v>67</v>
      </c>
      <c r="E24" s="8">
        <f>0+1+1+2+2+1+1+1</f>
        <v>9</v>
      </c>
      <c r="F24" s="8">
        <f>2+4+0</f>
        <v>6</v>
      </c>
      <c r="G24" s="8">
        <v>0</v>
      </c>
      <c r="H24" s="8">
        <f>1+1+0+1</f>
        <v>3</v>
      </c>
      <c r="I24" s="8">
        <v>2</v>
      </c>
      <c r="J24" s="11">
        <f t="shared" si="2"/>
        <v>20</v>
      </c>
      <c r="K24" s="13" t="s">
        <v>112</v>
      </c>
    </row>
    <row r="25" spans="1:11" ht="35" customHeight="1">
      <c r="A25" s="16" t="s">
        <v>33</v>
      </c>
      <c r="B25" s="6">
        <v>11</v>
      </c>
      <c r="C25" s="18" t="s">
        <v>94</v>
      </c>
      <c r="D25" s="7" t="s">
        <v>95</v>
      </c>
      <c r="E25" s="8">
        <f>1+1+1+1+0+0+0+0</f>
        <v>4</v>
      </c>
      <c r="F25" s="8">
        <f>2+4+0</f>
        <v>6</v>
      </c>
      <c r="G25" s="8">
        <v>1</v>
      </c>
      <c r="H25" s="8">
        <f>2+1+0+2</f>
        <v>5</v>
      </c>
      <c r="I25" s="8">
        <f>2+2</f>
        <v>4</v>
      </c>
      <c r="J25" s="11">
        <f t="shared" si="2"/>
        <v>20</v>
      </c>
      <c r="K25" s="13" t="s">
        <v>112</v>
      </c>
    </row>
    <row r="26" spans="1:11" ht="22.5" customHeight="1">
      <c r="A26" s="16" t="s">
        <v>9</v>
      </c>
      <c r="B26" s="6">
        <v>11</v>
      </c>
      <c r="C26" s="18" t="s">
        <v>68</v>
      </c>
      <c r="D26" s="7" t="s">
        <v>69</v>
      </c>
      <c r="E26" s="8">
        <f>1+1+1+1+2+1+0+0</f>
        <v>7</v>
      </c>
      <c r="F26" s="8">
        <f>2+1+0</f>
        <v>3</v>
      </c>
      <c r="G26" s="8">
        <f>1+0.5</f>
        <v>1.5</v>
      </c>
      <c r="H26" s="8">
        <f>3+0+1+0</f>
        <v>4</v>
      </c>
      <c r="I26" s="8">
        <v>2</v>
      </c>
      <c r="J26" s="11">
        <f t="shared" si="2"/>
        <v>17.5</v>
      </c>
      <c r="K26" s="12"/>
    </row>
    <row r="27" spans="1:11" ht="36" customHeight="1">
      <c r="A27" s="16" t="s">
        <v>32</v>
      </c>
      <c r="B27" s="6">
        <v>11</v>
      </c>
      <c r="C27" s="18" t="s">
        <v>93</v>
      </c>
      <c r="D27" s="7" t="s">
        <v>83</v>
      </c>
      <c r="E27" s="8">
        <f>0+1+0+0+0+0+0+0</f>
        <v>1</v>
      </c>
      <c r="F27" s="8">
        <f>1+1+0.5</f>
        <v>2.5</v>
      </c>
      <c r="G27" s="8">
        <f>1+1+1</f>
        <v>3</v>
      </c>
      <c r="H27" s="8">
        <f>2+1+1+2</f>
        <v>6</v>
      </c>
      <c r="I27" s="8">
        <f>2+1+2</f>
        <v>5</v>
      </c>
      <c r="J27" s="11">
        <f t="shared" si="2"/>
        <v>17.5</v>
      </c>
      <c r="K27" s="12"/>
    </row>
    <row r="28" spans="1:11" ht="35" customHeight="1">
      <c r="A28" s="16" t="s">
        <v>25</v>
      </c>
      <c r="B28" s="6">
        <v>11</v>
      </c>
      <c r="C28" s="18" t="s">
        <v>73</v>
      </c>
      <c r="D28" s="7" t="s">
        <v>74</v>
      </c>
      <c r="E28" s="8">
        <f>0+1+0+0+0+0+0+0</f>
        <v>1</v>
      </c>
      <c r="F28" s="8">
        <f>2+1.5+0</f>
        <v>3.5</v>
      </c>
      <c r="G28" s="8">
        <f>1+0.5+0.5</f>
        <v>2</v>
      </c>
      <c r="H28" s="8">
        <f>3+1+1+0</f>
        <v>5</v>
      </c>
      <c r="I28" s="8">
        <f>3+2</f>
        <v>5</v>
      </c>
      <c r="J28" s="11">
        <f t="shared" si="2"/>
        <v>16.5</v>
      </c>
      <c r="K28" s="12"/>
    </row>
    <row r="29" spans="1:11" ht="50" customHeight="1">
      <c r="A29" s="16" t="s">
        <v>20</v>
      </c>
      <c r="B29" s="6">
        <v>11</v>
      </c>
      <c r="C29" s="18" t="s">
        <v>82</v>
      </c>
      <c r="D29" s="7" t="s">
        <v>83</v>
      </c>
      <c r="E29" s="8">
        <f>0+1+1+1+0+0+0+0+0</f>
        <v>3</v>
      </c>
      <c r="F29" s="8">
        <f>2+4+0</f>
        <v>6</v>
      </c>
      <c r="G29" s="8">
        <f>1+0.5+0.5</f>
        <v>2</v>
      </c>
      <c r="H29" s="8">
        <f>1+1+1+2</f>
        <v>5</v>
      </c>
      <c r="I29" s="8">
        <v>0</v>
      </c>
      <c r="J29" s="11">
        <f t="shared" si="2"/>
        <v>16</v>
      </c>
      <c r="K29" s="12"/>
    </row>
    <row r="30" spans="1:11" ht="22.5" customHeight="1">
      <c r="A30" s="16" t="s">
        <v>6</v>
      </c>
      <c r="B30" s="6">
        <v>11</v>
      </c>
      <c r="C30" s="18" t="s">
        <v>62</v>
      </c>
      <c r="D30" s="7" t="s">
        <v>63</v>
      </c>
      <c r="E30" s="8">
        <f>0+1+1+1+0+0+0+0</f>
        <v>3</v>
      </c>
      <c r="F30" s="8">
        <f>1+0+0</f>
        <v>1</v>
      </c>
      <c r="G30" s="8">
        <f>1+0.5+1</f>
        <v>2.5</v>
      </c>
      <c r="H30" s="8">
        <f>1+1+0+2</f>
        <v>4</v>
      </c>
      <c r="I30" s="8">
        <f>0.5+2+2</f>
        <v>4.5</v>
      </c>
      <c r="J30" s="11">
        <f t="shared" si="2"/>
        <v>15</v>
      </c>
      <c r="K30" s="12"/>
    </row>
    <row r="31" spans="1:11" ht="37.5" customHeight="1">
      <c r="A31" s="16" t="s">
        <v>12</v>
      </c>
      <c r="B31" s="6">
        <v>11</v>
      </c>
      <c r="C31" s="18" t="s">
        <v>73</v>
      </c>
      <c r="D31" s="7" t="s">
        <v>74</v>
      </c>
      <c r="E31" s="8">
        <f>1+1+1+1+0+0+0+0</f>
        <v>4</v>
      </c>
      <c r="F31" s="8">
        <v>0</v>
      </c>
      <c r="G31" s="8">
        <f>1+0+4</f>
        <v>5</v>
      </c>
      <c r="H31" s="8">
        <f>1+1+1+0</f>
        <v>3</v>
      </c>
      <c r="I31" s="8">
        <f>3</f>
        <v>3</v>
      </c>
      <c r="J31" s="11">
        <f t="shared" si="2"/>
        <v>15</v>
      </c>
      <c r="K31" s="12"/>
    </row>
    <row r="32" spans="1:11" ht="22.5" customHeight="1">
      <c r="A32" s="16" t="s">
        <v>14</v>
      </c>
      <c r="B32" s="6">
        <v>11</v>
      </c>
      <c r="C32" s="18" t="s">
        <v>75</v>
      </c>
      <c r="D32" s="7" t="s">
        <v>69</v>
      </c>
      <c r="E32" s="8">
        <f>1+1+1+0+0+0+0+0</f>
        <v>3</v>
      </c>
      <c r="F32" s="8">
        <f>2+4+0</f>
        <v>6</v>
      </c>
      <c r="G32" s="8">
        <v>1</v>
      </c>
      <c r="H32" s="8">
        <f>1+1+1+0</f>
        <v>3</v>
      </c>
      <c r="I32" s="8">
        <v>2</v>
      </c>
      <c r="J32" s="11">
        <f t="shared" si="2"/>
        <v>15</v>
      </c>
      <c r="K32" s="12"/>
    </row>
    <row r="33" spans="1:11" ht="22.5" customHeight="1">
      <c r="A33" s="16" t="s">
        <v>24</v>
      </c>
      <c r="B33" s="6">
        <v>11</v>
      </c>
      <c r="C33" s="18" t="s">
        <v>87</v>
      </c>
      <c r="D33" s="7" t="s">
        <v>80</v>
      </c>
      <c r="E33" s="8">
        <f>1+1+0+1+0+0+0+0</f>
        <v>3</v>
      </c>
      <c r="F33" s="8">
        <f>2+0+0</f>
        <v>2</v>
      </c>
      <c r="G33" s="8">
        <v>1</v>
      </c>
      <c r="H33" s="8">
        <f>2+1+1+1</f>
        <v>5</v>
      </c>
      <c r="I33" s="8">
        <f>4+0+0</f>
        <v>4</v>
      </c>
      <c r="J33" s="11">
        <f t="shared" si="2"/>
        <v>15</v>
      </c>
      <c r="K33" s="12"/>
    </row>
    <row r="34" spans="1:11" ht="22.5" customHeight="1">
      <c r="A34" s="16" t="s">
        <v>28</v>
      </c>
      <c r="B34" s="6">
        <v>11</v>
      </c>
      <c r="C34" s="18" t="s">
        <v>90</v>
      </c>
      <c r="D34" s="7" t="s">
        <v>91</v>
      </c>
      <c r="E34" s="8">
        <f>1+1+1+1+0+0+0+0</f>
        <v>4</v>
      </c>
      <c r="F34" s="8">
        <f>1.5+0.5+2</f>
        <v>4</v>
      </c>
      <c r="G34" s="8">
        <f>2+1+1</f>
        <v>4</v>
      </c>
      <c r="H34" s="8">
        <f>0+1+0+0</f>
        <v>1</v>
      </c>
      <c r="I34" s="8">
        <v>2</v>
      </c>
      <c r="J34" s="11">
        <f t="shared" si="2"/>
        <v>15</v>
      </c>
      <c r="K34" s="12"/>
    </row>
    <row r="35" spans="1:11" ht="22.5" customHeight="1">
      <c r="A35" s="16" t="s">
        <v>16</v>
      </c>
      <c r="B35" s="6">
        <v>11</v>
      </c>
      <c r="C35" s="18" t="s">
        <v>77</v>
      </c>
      <c r="D35" s="7" t="s">
        <v>78</v>
      </c>
      <c r="E35" s="8">
        <f>0+1+1+0+0+0+0+0</f>
        <v>2</v>
      </c>
      <c r="F35" s="8">
        <f>1.5+0+0</f>
        <v>1.5</v>
      </c>
      <c r="G35" s="8">
        <v>1</v>
      </c>
      <c r="H35" s="8">
        <f>2+1+1+3</f>
        <v>7</v>
      </c>
      <c r="I35" s="8">
        <v>2</v>
      </c>
      <c r="J35" s="11">
        <f t="shared" si="2"/>
        <v>13.5</v>
      </c>
      <c r="K35" s="12"/>
    </row>
    <row r="36" spans="1:11" ht="36" customHeight="1">
      <c r="A36" s="16" t="s">
        <v>2</v>
      </c>
      <c r="B36" s="6">
        <v>11</v>
      </c>
      <c r="C36" s="18" t="s">
        <v>59</v>
      </c>
      <c r="D36" s="7" t="s">
        <v>60</v>
      </c>
      <c r="E36" s="8">
        <f>0+1+1</f>
        <v>2</v>
      </c>
      <c r="F36" s="8">
        <f>2+4+0</f>
        <v>6</v>
      </c>
      <c r="G36" s="8">
        <f>2+0+0</f>
        <v>2</v>
      </c>
      <c r="H36" s="8">
        <v>3</v>
      </c>
      <c r="I36" s="8">
        <v>0</v>
      </c>
      <c r="J36" s="11">
        <f t="shared" si="2"/>
        <v>13</v>
      </c>
      <c r="K36" s="12"/>
    </row>
    <row r="37" spans="1:11" ht="33" customHeight="1">
      <c r="A37" s="16" t="s">
        <v>46</v>
      </c>
      <c r="B37" s="6">
        <v>11</v>
      </c>
      <c r="C37" s="18" t="s">
        <v>107</v>
      </c>
      <c r="D37" s="7" t="s">
        <v>69</v>
      </c>
      <c r="E37" s="8">
        <f>0+1+1+1+2+1+0+0</f>
        <v>6</v>
      </c>
      <c r="F37" s="8">
        <f>1+0+0</f>
        <v>1</v>
      </c>
      <c r="G37" s="8">
        <v>0</v>
      </c>
      <c r="H37" s="8">
        <f>3+0+1+0</f>
        <v>4</v>
      </c>
      <c r="I37" s="8">
        <v>2</v>
      </c>
      <c r="J37" s="11">
        <f t="shared" si="2"/>
        <v>13</v>
      </c>
      <c r="K37" s="12"/>
    </row>
    <row r="38" spans="1:11" ht="47.5" customHeight="1">
      <c r="A38" s="16" t="s">
        <v>15</v>
      </c>
      <c r="B38" s="8">
        <v>11</v>
      </c>
      <c r="C38" s="20" t="s">
        <v>76</v>
      </c>
      <c r="D38" s="10" t="s">
        <v>63</v>
      </c>
      <c r="E38" s="8">
        <f>1+1+0+1+0+0+0+0</f>
        <v>3</v>
      </c>
      <c r="F38" s="8">
        <f>2+1.5+0</f>
        <v>3.5</v>
      </c>
      <c r="G38" s="8">
        <f>1.5+0.5+2</f>
        <v>4</v>
      </c>
      <c r="H38" s="8">
        <f>1+0+0+0</f>
        <v>1</v>
      </c>
      <c r="I38" s="8">
        <v>0</v>
      </c>
      <c r="J38" s="11">
        <f t="shared" si="2"/>
        <v>11.5</v>
      </c>
      <c r="K38" s="12"/>
    </row>
    <row r="39" spans="1:11" ht="22.5" customHeight="1">
      <c r="A39" s="16" t="s">
        <v>34</v>
      </c>
      <c r="B39" s="6">
        <v>11</v>
      </c>
      <c r="C39" s="18" t="s">
        <v>96</v>
      </c>
      <c r="D39" s="7" t="s">
        <v>63</v>
      </c>
      <c r="E39" s="8">
        <f>0+1+0+0+0+0+0+0</f>
        <v>1</v>
      </c>
      <c r="F39" s="8">
        <f>2+3+4</f>
        <v>9</v>
      </c>
      <c r="G39" s="8">
        <v>0</v>
      </c>
      <c r="H39" s="8">
        <v>0</v>
      </c>
      <c r="I39" s="8">
        <v>0</v>
      </c>
      <c r="J39" s="11">
        <f t="shared" si="2"/>
        <v>10</v>
      </c>
      <c r="K39" s="12"/>
    </row>
    <row r="40" spans="1:11" ht="36" customHeight="1">
      <c r="A40" s="16" t="s">
        <v>36</v>
      </c>
      <c r="B40" s="6">
        <v>11</v>
      </c>
      <c r="C40" s="18" t="s">
        <v>97</v>
      </c>
      <c r="D40" s="7" t="s">
        <v>98</v>
      </c>
      <c r="E40" s="8">
        <f>0+1+1+1+0+0+0+0</f>
        <v>3</v>
      </c>
      <c r="F40" s="8">
        <f>1+1+0</f>
        <v>2</v>
      </c>
      <c r="G40" s="8">
        <v>0</v>
      </c>
      <c r="H40" s="8">
        <v>0</v>
      </c>
      <c r="I40" s="8">
        <f>4+1</f>
        <v>5</v>
      </c>
      <c r="J40" s="11">
        <f t="shared" si="2"/>
        <v>10</v>
      </c>
      <c r="K40" s="12"/>
    </row>
    <row r="41" spans="1:11" ht="22.5" customHeight="1">
      <c r="A41" s="16" t="s">
        <v>37</v>
      </c>
      <c r="B41" s="6">
        <v>11</v>
      </c>
      <c r="C41" s="18" t="s">
        <v>99</v>
      </c>
      <c r="D41" s="7" t="s">
        <v>65</v>
      </c>
      <c r="E41" s="8">
        <f>0+1+1+0+0+0+0+0</f>
        <v>2</v>
      </c>
      <c r="F41" s="8">
        <f>2+0+0</f>
        <v>2</v>
      </c>
      <c r="G41" s="8">
        <v>0</v>
      </c>
      <c r="H41" s="8">
        <v>0</v>
      </c>
      <c r="I41" s="8">
        <v>5</v>
      </c>
      <c r="J41" s="11">
        <f t="shared" si="2"/>
        <v>9</v>
      </c>
      <c r="K41" s="12"/>
    </row>
    <row r="42" spans="1:11" ht="38.5" customHeight="1">
      <c r="A42" s="16" t="s">
        <v>11</v>
      </c>
      <c r="B42" s="6">
        <v>11</v>
      </c>
      <c r="C42" s="18" t="s">
        <v>72</v>
      </c>
      <c r="D42" s="7" t="s">
        <v>69</v>
      </c>
      <c r="E42" s="8">
        <f>0+1+0+0+0+0+0+0</f>
        <v>1</v>
      </c>
      <c r="F42" s="8">
        <f>2+4+0</f>
        <v>6</v>
      </c>
      <c r="G42" s="8">
        <v>0</v>
      </c>
      <c r="H42" s="8">
        <v>1</v>
      </c>
      <c r="I42" s="8">
        <v>0</v>
      </c>
      <c r="J42" s="11">
        <f t="shared" si="2"/>
        <v>8</v>
      </c>
      <c r="K42" s="12"/>
    </row>
    <row r="43" spans="1:11" ht="22.5" customHeight="1">
      <c r="A43" s="16" t="s">
        <v>26</v>
      </c>
      <c r="B43" s="6">
        <v>11</v>
      </c>
      <c r="C43" s="18" t="s">
        <v>75</v>
      </c>
      <c r="D43" s="7" t="s">
        <v>69</v>
      </c>
      <c r="E43" s="8">
        <f>0+1+1+0+0+0+0</f>
        <v>2</v>
      </c>
      <c r="F43" s="8">
        <f>2+0+0</f>
        <v>2</v>
      </c>
      <c r="G43" s="8">
        <v>0</v>
      </c>
      <c r="H43" s="8">
        <f>2+0+0+0</f>
        <v>2</v>
      </c>
      <c r="I43" s="8">
        <v>2</v>
      </c>
      <c r="J43" s="11">
        <f t="shared" si="2"/>
        <v>8</v>
      </c>
      <c r="K43" s="12"/>
    </row>
    <row r="44" spans="1:11" ht="22.5" customHeight="1">
      <c r="A44" s="16" t="s">
        <v>45</v>
      </c>
      <c r="B44" s="6">
        <v>11</v>
      </c>
      <c r="C44" s="18" t="s">
        <v>106</v>
      </c>
      <c r="D44" s="7" t="s">
        <v>63</v>
      </c>
      <c r="E44" s="8">
        <f>0+1+1+1+0+0+0+0</f>
        <v>3</v>
      </c>
      <c r="F44" s="8">
        <f>2+0.5</f>
        <v>2.5</v>
      </c>
      <c r="G44" s="8">
        <f>1+0.5</f>
        <v>1.5</v>
      </c>
      <c r="H44" s="8">
        <v>0</v>
      </c>
      <c r="I44" s="8">
        <v>0</v>
      </c>
      <c r="J44" s="11">
        <f t="shared" si="2"/>
        <v>7</v>
      </c>
      <c r="K44" s="12"/>
    </row>
    <row r="45" spans="1:11" ht="37.5" customHeight="1">
      <c r="A45" s="16" t="s">
        <v>29</v>
      </c>
      <c r="B45" s="6">
        <v>11</v>
      </c>
      <c r="C45" s="18" t="s">
        <v>57</v>
      </c>
      <c r="D45" s="7" t="s">
        <v>58</v>
      </c>
      <c r="E45" s="8">
        <f>1+1+1+0+0+1+0+0</f>
        <v>4</v>
      </c>
      <c r="F45" s="8">
        <v>0</v>
      </c>
      <c r="G45" s="8">
        <f>1+0.5+1</f>
        <v>2.5</v>
      </c>
      <c r="H45" s="8">
        <v>0</v>
      </c>
      <c r="I45" s="8">
        <v>0</v>
      </c>
      <c r="J45" s="11">
        <f t="shared" si="2"/>
        <v>6.5</v>
      </c>
      <c r="K45" s="12"/>
    </row>
    <row r="46" spans="1:11" ht="37.5" customHeight="1">
      <c r="A46" s="16" t="s">
        <v>22</v>
      </c>
      <c r="B46" s="6">
        <v>11</v>
      </c>
      <c r="C46" s="18" t="s">
        <v>85</v>
      </c>
      <c r="D46" s="7" t="s">
        <v>80</v>
      </c>
      <c r="E46" s="8">
        <v>0</v>
      </c>
      <c r="F46" s="8">
        <v>0</v>
      </c>
      <c r="G46" s="8">
        <v>0</v>
      </c>
      <c r="H46" s="8">
        <v>0</v>
      </c>
      <c r="I46" s="8">
        <f>3+1+0</f>
        <v>4</v>
      </c>
      <c r="J46" s="11">
        <f t="shared" si="2"/>
        <v>4</v>
      </c>
      <c r="K46" s="12"/>
    </row>
    <row r="47" spans="1:11" ht="22.5" customHeight="1">
      <c r="A47" s="16" t="s">
        <v>38</v>
      </c>
      <c r="B47" s="8">
        <v>11</v>
      </c>
      <c r="C47" s="20" t="s">
        <v>100</v>
      </c>
      <c r="D47" s="10" t="s">
        <v>65</v>
      </c>
      <c r="E47" s="8">
        <f>0+1+0+0+0+0+0+0</f>
        <v>1</v>
      </c>
      <c r="F47" s="8">
        <v>0</v>
      </c>
      <c r="G47" s="8">
        <v>0</v>
      </c>
      <c r="H47" s="8">
        <v>1</v>
      </c>
      <c r="I47" s="8">
        <v>2</v>
      </c>
      <c r="J47" s="11">
        <f t="shared" si="2"/>
        <v>4</v>
      </c>
      <c r="K47" s="12"/>
    </row>
    <row r="48" spans="1:11" ht="56.5" customHeight="1">
      <c r="A48" s="16" t="s">
        <v>23</v>
      </c>
      <c r="B48" s="8">
        <v>11</v>
      </c>
      <c r="C48" s="20" t="s">
        <v>86</v>
      </c>
      <c r="D48" s="10" t="s">
        <v>71</v>
      </c>
      <c r="E48" s="8">
        <v>0</v>
      </c>
      <c r="F48" s="8">
        <v>0</v>
      </c>
      <c r="G48" s="8">
        <v>0</v>
      </c>
      <c r="H48" s="8">
        <v>0</v>
      </c>
      <c r="I48" s="8">
        <f>3</f>
        <v>3</v>
      </c>
      <c r="J48" s="11">
        <f t="shared" si="2"/>
        <v>3</v>
      </c>
      <c r="K48" s="12"/>
    </row>
    <row r="49" spans="1:11" ht="36" customHeight="1">
      <c r="A49" s="16" t="s">
        <v>43</v>
      </c>
      <c r="B49" s="6">
        <v>11</v>
      </c>
      <c r="C49" s="18" t="s">
        <v>103</v>
      </c>
      <c r="D49" s="7" t="s">
        <v>104</v>
      </c>
      <c r="E49" s="8">
        <v>1</v>
      </c>
      <c r="F49" s="8">
        <v>0</v>
      </c>
      <c r="G49" s="8">
        <v>0</v>
      </c>
      <c r="H49" s="8">
        <v>0</v>
      </c>
      <c r="I49" s="8">
        <v>0</v>
      </c>
      <c r="J49" s="11">
        <f t="shared" si="2"/>
        <v>1</v>
      </c>
      <c r="K49" s="12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Неля Михайловна</dc:creator>
  <cp:lastModifiedBy>Lenovo</cp:lastModifiedBy>
  <dcterms:created xsi:type="dcterms:W3CDTF">2026-01-23T00:28:40Z</dcterms:created>
  <dcterms:modified xsi:type="dcterms:W3CDTF">2026-01-27T11:17:10Z</dcterms:modified>
</cp:coreProperties>
</file>