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ФІЗИКА\остаточні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5" i="1" l="1"/>
  <c r="J75" i="1" s="1"/>
  <c r="I74" i="1"/>
  <c r="E74" i="1"/>
  <c r="G73" i="1"/>
  <c r="E73" i="1"/>
  <c r="I72" i="1"/>
  <c r="J72" i="1" s="1"/>
  <c r="I71" i="1"/>
  <c r="E71" i="1"/>
  <c r="I70" i="1"/>
  <c r="E70" i="1"/>
  <c r="I69" i="1"/>
  <c r="H69" i="1"/>
  <c r="E69" i="1"/>
  <c r="G68" i="1"/>
  <c r="E68" i="1"/>
  <c r="G67" i="1"/>
  <c r="E67" i="1"/>
  <c r="I66" i="1"/>
  <c r="H66" i="1"/>
  <c r="E66" i="1"/>
  <c r="G65" i="1"/>
  <c r="E65" i="1"/>
  <c r="G63" i="1"/>
  <c r="E63" i="1"/>
  <c r="J63" i="1" s="1"/>
  <c r="G64" i="1"/>
  <c r="E64" i="1"/>
  <c r="I62" i="1"/>
  <c r="H62" i="1"/>
  <c r="E62" i="1"/>
  <c r="I61" i="1"/>
  <c r="G61" i="1"/>
  <c r="E61" i="1"/>
  <c r="I60" i="1"/>
  <c r="E60" i="1"/>
  <c r="I59" i="1"/>
  <c r="H59" i="1"/>
  <c r="G59" i="1"/>
  <c r="E59" i="1"/>
  <c r="I58" i="1"/>
  <c r="E58" i="1"/>
  <c r="J58" i="1" s="1"/>
  <c r="I57" i="1"/>
  <c r="H57" i="1"/>
  <c r="G57" i="1"/>
  <c r="E57" i="1"/>
  <c r="I56" i="1"/>
  <c r="G56" i="1"/>
  <c r="E56" i="1"/>
  <c r="I55" i="1"/>
  <c r="H55" i="1"/>
  <c r="G55" i="1"/>
  <c r="E55" i="1"/>
  <c r="I54" i="1"/>
  <c r="E54" i="1"/>
  <c r="H53" i="1"/>
  <c r="G53" i="1"/>
  <c r="E53" i="1"/>
  <c r="H52" i="1"/>
  <c r="G52" i="1"/>
  <c r="E52" i="1"/>
  <c r="I51" i="1"/>
  <c r="G51" i="1"/>
  <c r="E51" i="1"/>
  <c r="I50" i="1"/>
  <c r="H50" i="1"/>
  <c r="G50" i="1"/>
  <c r="E50" i="1"/>
  <c r="I49" i="1"/>
  <c r="H49" i="1"/>
  <c r="G49" i="1"/>
  <c r="E49" i="1"/>
  <c r="I48" i="1"/>
  <c r="H48" i="1"/>
  <c r="G48" i="1"/>
  <c r="E48" i="1"/>
  <c r="I47" i="1"/>
  <c r="H47" i="1"/>
  <c r="E47" i="1"/>
  <c r="I46" i="1"/>
  <c r="G46" i="1"/>
  <c r="E46" i="1"/>
  <c r="I45" i="1"/>
  <c r="G45" i="1"/>
  <c r="E45" i="1"/>
  <c r="I44" i="1"/>
  <c r="E44" i="1"/>
  <c r="I43" i="1"/>
  <c r="H43" i="1"/>
  <c r="E43" i="1"/>
  <c r="I42" i="1"/>
  <c r="G42" i="1"/>
  <c r="E42" i="1"/>
  <c r="I41" i="1"/>
  <c r="H41" i="1"/>
  <c r="G41" i="1"/>
  <c r="E41" i="1"/>
  <c r="H40" i="1"/>
  <c r="G40" i="1"/>
  <c r="E40" i="1"/>
  <c r="I39" i="1"/>
  <c r="G39" i="1"/>
  <c r="E39" i="1"/>
  <c r="I38" i="1"/>
  <c r="H38" i="1"/>
  <c r="G38" i="1"/>
  <c r="E38" i="1"/>
  <c r="I37" i="1"/>
  <c r="H37" i="1"/>
  <c r="G37" i="1"/>
  <c r="E37" i="1"/>
  <c r="I36" i="1"/>
  <c r="H36" i="1"/>
  <c r="G36" i="1"/>
  <c r="E36" i="1"/>
  <c r="I35" i="1"/>
  <c r="G35" i="1"/>
  <c r="E35" i="1"/>
  <c r="I34" i="1"/>
  <c r="H34" i="1"/>
  <c r="G34" i="1"/>
  <c r="E34" i="1"/>
  <c r="I33" i="1"/>
  <c r="H33" i="1"/>
  <c r="G33" i="1"/>
  <c r="E33" i="1"/>
  <c r="I32" i="1"/>
  <c r="H32" i="1"/>
  <c r="G32" i="1"/>
  <c r="E32" i="1"/>
  <c r="I31" i="1"/>
  <c r="H31" i="1"/>
  <c r="G31" i="1"/>
  <c r="E31" i="1"/>
  <c r="I30" i="1"/>
  <c r="H30" i="1"/>
  <c r="G30" i="1"/>
  <c r="E30" i="1"/>
  <c r="I29" i="1"/>
  <c r="H29" i="1"/>
  <c r="G29" i="1"/>
  <c r="E29" i="1"/>
  <c r="I28" i="1"/>
  <c r="H28" i="1"/>
  <c r="G28" i="1"/>
  <c r="E28" i="1"/>
  <c r="I27" i="1"/>
  <c r="H27" i="1"/>
  <c r="G27" i="1"/>
  <c r="E27" i="1"/>
  <c r="H26" i="1"/>
  <c r="G26" i="1"/>
  <c r="E26" i="1"/>
  <c r="I25" i="1"/>
  <c r="H25" i="1"/>
  <c r="G25" i="1"/>
  <c r="E25" i="1"/>
  <c r="I24" i="1"/>
  <c r="H24" i="1"/>
  <c r="G24" i="1"/>
  <c r="E24" i="1"/>
  <c r="I23" i="1"/>
  <c r="H23" i="1"/>
  <c r="G23" i="1"/>
  <c r="E23" i="1"/>
  <c r="I22" i="1"/>
  <c r="H22" i="1"/>
  <c r="E22" i="1"/>
  <c r="I21" i="1"/>
  <c r="H21" i="1"/>
  <c r="G21" i="1"/>
  <c r="E21" i="1"/>
  <c r="I20" i="1"/>
  <c r="H20" i="1"/>
  <c r="G20" i="1"/>
  <c r="E20" i="1"/>
  <c r="I19" i="1"/>
  <c r="H19" i="1"/>
  <c r="G19" i="1"/>
  <c r="E19" i="1"/>
  <c r="I18" i="1"/>
  <c r="H18" i="1"/>
  <c r="G18" i="1"/>
  <c r="E18" i="1"/>
  <c r="I17" i="1"/>
  <c r="H17" i="1"/>
  <c r="G17" i="1"/>
  <c r="E17" i="1"/>
  <c r="I16" i="1"/>
  <c r="H16" i="1"/>
  <c r="G16" i="1"/>
  <c r="E16" i="1"/>
  <c r="I15" i="1"/>
  <c r="H15" i="1"/>
  <c r="G15" i="1"/>
  <c r="E15" i="1"/>
  <c r="I14" i="1"/>
  <c r="H14" i="1"/>
  <c r="G14" i="1"/>
  <c r="E14" i="1"/>
  <c r="I13" i="1"/>
  <c r="H13" i="1"/>
  <c r="G13" i="1"/>
  <c r="E13" i="1"/>
  <c r="I12" i="1"/>
  <c r="H12" i="1"/>
  <c r="G12" i="1"/>
  <c r="E12" i="1"/>
  <c r="I10" i="1"/>
  <c r="H10" i="1"/>
  <c r="G10" i="1"/>
  <c r="E10" i="1"/>
  <c r="I11" i="1"/>
  <c r="H11" i="1"/>
  <c r="G11" i="1"/>
  <c r="E11" i="1"/>
  <c r="I8" i="1"/>
  <c r="H8" i="1"/>
  <c r="G8" i="1"/>
  <c r="E8" i="1"/>
  <c r="I9" i="1"/>
  <c r="H9" i="1"/>
  <c r="G9" i="1"/>
  <c r="E9" i="1"/>
  <c r="I5" i="1"/>
  <c r="H5" i="1"/>
  <c r="G5" i="1"/>
  <c r="E5" i="1"/>
  <c r="I7" i="1"/>
  <c r="H7" i="1"/>
  <c r="G7" i="1"/>
  <c r="E7" i="1"/>
  <c r="I6" i="1"/>
  <c r="H6" i="1"/>
  <c r="G6" i="1"/>
  <c r="E6" i="1"/>
  <c r="I4" i="1"/>
  <c r="H4" i="1"/>
  <c r="G4" i="1"/>
  <c r="E4" i="1"/>
  <c r="I3" i="1"/>
  <c r="H3" i="1"/>
  <c r="G3" i="1"/>
  <c r="E3" i="1"/>
  <c r="J53" i="1" l="1"/>
  <c r="J57" i="1"/>
  <c r="J61" i="1"/>
  <c r="J65" i="1"/>
  <c r="J27" i="1"/>
  <c r="J28" i="1"/>
  <c r="J29" i="1"/>
  <c r="J31" i="1"/>
  <c r="J32" i="1"/>
  <c r="J33" i="1"/>
  <c r="J34" i="1"/>
  <c r="J40" i="1"/>
  <c r="J44" i="1"/>
  <c r="J55" i="1"/>
  <c r="J56" i="1"/>
  <c r="J71" i="1"/>
  <c r="J52" i="1"/>
  <c r="J60" i="1"/>
  <c r="J74" i="1"/>
  <c r="J42" i="1"/>
  <c r="J51" i="1"/>
  <c r="J62" i="1"/>
  <c r="J67" i="1"/>
  <c r="J69" i="1"/>
  <c r="J73" i="1"/>
  <c r="J23" i="1"/>
  <c r="J24" i="1"/>
  <c r="J25" i="1"/>
  <c r="J35" i="1"/>
  <c r="J39" i="1"/>
  <c r="J41" i="1"/>
  <c r="J43" i="1"/>
  <c r="J47" i="1"/>
  <c r="J4" i="1"/>
  <c r="J7" i="1"/>
  <c r="J5" i="1"/>
  <c r="J8" i="1"/>
  <c r="J11" i="1"/>
  <c r="J10" i="1"/>
  <c r="J12" i="1"/>
  <c r="J13" i="1"/>
  <c r="J14" i="1"/>
  <c r="J15" i="1"/>
  <c r="J16" i="1"/>
  <c r="J17" i="1"/>
  <c r="J18" i="1"/>
  <c r="J19" i="1"/>
  <c r="J20" i="1"/>
  <c r="J21" i="1"/>
  <c r="J22" i="1"/>
  <c r="J26" i="1"/>
  <c r="J46" i="1"/>
  <c r="J48" i="1"/>
  <c r="J49" i="1"/>
  <c r="J50" i="1"/>
  <c r="J54" i="1"/>
  <c r="J64" i="1"/>
  <c r="J66" i="1"/>
  <c r="J68" i="1"/>
  <c r="J3" i="1"/>
  <c r="J6" i="1"/>
  <c r="J9" i="1"/>
  <c r="J36" i="1"/>
  <c r="J37" i="1"/>
  <c r="J38" i="1"/>
  <c r="J45" i="1"/>
  <c r="J59" i="1"/>
  <c r="J70" i="1"/>
</calcChain>
</file>

<file path=xl/sharedStrings.xml><?xml version="1.0" encoding="utf-8"?>
<sst xmlns="http://schemas.openxmlformats.org/spreadsheetml/2006/main" count="268" uniqueCount="169">
  <si>
    <t>сума</t>
  </si>
  <si>
    <t>Руденко Марія Вадимівна</t>
  </si>
  <si>
    <t>Кучер Роман Борисович</t>
  </si>
  <si>
    <t>Колоскова Владислава Іванівна</t>
  </si>
  <si>
    <t>Кравець Олег Аресенійович</t>
  </si>
  <si>
    <t>Кононенко Олег Григорович</t>
  </si>
  <si>
    <t>Волоснова Катерина Дмитрівна</t>
  </si>
  <si>
    <t>Велінець Катерина Віталіївна</t>
  </si>
  <si>
    <t>Булавицький Михайло Олександрович</t>
  </si>
  <si>
    <t>Денисова Олександра Андріївна</t>
  </si>
  <si>
    <t>Джаббарова Діана Тимурівна</t>
  </si>
  <si>
    <t>Зайченко Максим Євгенович</t>
  </si>
  <si>
    <t>Васильченко Аня Геннадіївна</t>
  </si>
  <si>
    <t>Закіпна Дар'я Валеріївна</t>
  </si>
  <si>
    <t>Ковальчук Уляна Антонівна</t>
  </si>
  <si>
    <t>Касянчик Тимур Вадимович</t>
  </si>
  <si>
    <t>Глущенко Максим Олександрович</t>
  </si>
  <si>
    <t>Ковтун Дмитро Олегович</t>
  </si>
  <si>
    <t>Вовк Вадим Вітальйович</t>
  </si>
  <si>
    <t>Брусенцов Мілан Романович</t>
  </si>
  <si>
    <t>Бохан Поліна Вадимівна</t>
  </si>
  <si>
    <t>Канаєва Катерина Станіславівна</t>
  </si>
  <si>
    <t>Готвянська Марія Олександрівна</t>
  </si>
  <si>
    <t>Ганіна Анастасія Олексіївна</t>
  </si>
  <si>
    <t>Двоєнко Олександр Володимирович</t>
  </si>
  <si>
    <t>Запара Анастасія Євгенівна</t>
  </si>
  <si>
    <t>Веремієнко Вероніка Євгеніївна</t>
  </si>
  <si>
    <t>Григоров Андрій Олександрович</t>
  </si>
  <si>
    <t>Зубченко Гліб Романович</t>
  </si>
  <si>
    <t>Лебідь Ігор Миколайович</t>
  </si>
  <si>
    <t>Лисенко Вероніка Олегівна</t>
  </si>
  <si>
    <t>Корнієнко Варвара Олександрівна</t>
  </si>
  <si>
    <t>Кулик Андрій Владиславович</t>
  </si>
  <si>
    <t>Лебідь Матвій Максимович</t>
  </si>
  <si>
    <t>Левченко Олексій Олександрович</t>
  </si>
  <si>
    <t>Колісник Майя Романівна</t>
  </si>
  <si>
    <t>Коковін Радіслав Віталійович</t>
  </si>
  <si>
    <t>Кулик Олександр Вадимович</t>
  </si>
  <si>
    <t>Осман Єлизавета Сергіївна</t>
  </si>
  <si>
    <t>Надточий Вероніка Віталіївна</t>
  </si>
  <si>
    <t>Максименко Маргарита Денисівна</t>
  </si>
  <si>
    <t>Погорелов Ярослав Антонович</t>
  </si>
  <si>
    <t>Прохватилов Дмитро Дмитрович</t>
  </si>
  <si>
    <t>Лук'яніхін Демид Олександрович</t>
  </si>
  <si>
    <t>Пономарьова Марина Вадимівна</t>
  </si>
  <si>
    <t>Нахмурін Тимофій Сергійович</t>
  </si>
  <si>
    <t>Панова Олеся Романівна</t>
  </si>
  <si>
    <t>Пазенко Марина Володимирівна</t>
  </si>
  <si>
    <t>Пелих Варвара Романівна</t>
  </si>
  <si>
    <t>Місков Олександр Денисович</t>
  </si>
  <si>
    <t>Мазур Поліна Вікторівна</t>
  </si>
  <si>
    <t>Матвієнко Артем Олександрович</t>
  </si>
  <si>
    <t>Наталуха Максим Юрійович</t>
  </si>
  <si>
    <t>Петченко Дмитро Тимофійович</t>
  </si>
  <si>
    <t>Попова Катерина Олексіївна</t>
  </si>
  <si>
    <t>Маганов Тихон Олександрович</t>
  </si>
  <si>
    <t>Пилящик Михайло Володимирович</t>
  </si>
  <si>
    <t>Сіроус Артем Олександрович</t>
  </si>
  <si>
    <t>Удовик Іван Віталійович</t>
  </si>
  <si>
    <t>Семенець Іван Володимирович</t>
  </si>
  <si>
    <t>Рибалко Орина Олександрівна</t>
  </si>
  <si>
    <t>Фатєєв Олександр Олександрович</t>
  </si>
  <si>
    <t>Сєрік Євгенія Русланівна</t>
  </si>
  <si>
    <t>Фірсова Милана Дмитрівна</t>
  </si>
  <si>
    <t>Худолій Максим Віталійович</t>
  </si>
  <si>
    <t>Сметана Дар'я Олександрівна</t>
  </si>
  <si>
    <t>Сосніна Марія Іванівна</t>
  </si>
  <si>
    <t>Тімошова Аліна Максимівна</t>
  </si>
  <si>
    <t>Шиян Богдан Олександрович</t>
  </si>
  <si>
    <t>Чеснаков Артем В'ячеславович</t>
  </si>
  <si>
    <t>Строєнко Аліса Сергіївна</t>
  </si>
  <si>
    <t>Салєнков Іван Антонович</t>
  </si>
  <si>
    <t>Шапар Влада Сергіївна</t>
  </si>
  <si>
    <t>Філатова Кіра Вячеславівна</t>
  </si>
  <si>
    <t>Приватний заклад освіти Харківський ліцей «Авторська школа Бойка» Харківської області</t>
  </si>
  <si>
    <t>Комунальний заклад «Харківський ліцей № 150 Харківської міської ради»</t>
  </si>
  <si>
    <t>Шевченківський район</t>
  </si>
  <si>
    <t>Комунальний заклад «Харківський ліцей № 11 імені Данила Дідика Харківської міської ради»</t>
  </si>
  <si>
    <t>Немишлянський район</t>
  </si>
  <si>
    <t>Комунального закладу «Харківський науковий ліцей "Обдарованість"» Харківської обласної ради</t>
  </si>
  <si>
    <t>Обдарованість</t>
  </si>
  <si>
    <t>Комунальний заклад «Харківський ліцей № 98 Харківської міської ради»</t>
  </si>
  <si>
    <t>Салтівський район</t>
  </si>
  <si>
    <t>Комунальний заклад «Харківський ліцей №53 Харківської міської ради»</t>
  </si>
  <si>
    <t>Основ'янський район</t>
  </si>
  <si>
    <t>Комунальний заклад «Харківський ліцей № 32 Харківської міської ради»</t>
  </si>
  <si>
    <t>Комунальний заклад «Харківський ліцей № 146 Харківської міської ради»</t>
  </si>
  <si>
    <t>Комунальний заклад «Зміївський ліцей № 1» Зміївської міської ради Чугуївського району Харківської області</t>
  </si>
  <si>
    <t>Чугуївська опорна локація</t>
  </si>
  <si>
    <t>Комунальний заклад «Харківський ліцей № 4 Харківської міської ради»</t>
  </si>
  <si>
    <t>Київський район</t>
  </si>
  <si>
    <t>Балаклійський ліцей № 2 Балаклійської міської ради Харківської області</t>
  </si>
  <si>
    <t>Ізюмська опорна локація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</si>
  <si>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</si>
  <si>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Комунальний заклад «Люботинський мистецький ліцей “Дивосвіт”» Харківської обласної ради</t>
  </si>
  <si>
    <t>Заклади обласного підпорядкування</t>
  </si>
  <si>
    <t>Комунальний заклад «Харківський ліцей № 156 Харківської міської ради»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</si>
  <si>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</si>
  <si>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</si>
  <si>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«Харківський ліцей № 163 Харківської міської ради»</t>
  </si>
  <si>
    <t>Індустріальний район</t>
  </si>
  <si>
    <t>Комунальний заклад «Харківський ліцей № 49 Харківської міської ради»</t>
  </si>
  <si>
    <t>Піско-Радьківський ліцей (із структурними підрозділами) Борівської селищної ради Ізюмського району Харківської області</t>
  </si>
  <si>
    <t>Комунальний заклад «Харківський ліцей № 141 Харківської міської ради»</t>
  </si>
  <si>
    <t>Комунальний заклад «Шевченківський ліцей» Сахновщинської селищної ради</t>
  </si>
  <si>
    <t>Кегичівська опорна локація</t>
  </si>
  <si>
    <t>Комунальний заклад «Харківський ліцей № 43 Харківської міської ради»</t>
  </si>
  <si>
    <t>Богодухівська опорна локація</t>
  </si>
  <si>
    <t>Комунальний заклад «Харківський ліцей № 87 Харківської міської ради»</t>
  </si>
  <si>
    <t>Холодногірський район</t>
  </si>
  <si>
    <t>Комунальний заклад «Харківський ліцей № 47 Харківської міської ради»</t>
  </si>
  <si>
    <t>Комунальний заклад «Харківський ліцей № 109 Харківської міської ради»</t>
  </si>
  <si>
    <t>Комунальний заклад «Харківський ліцей № 131 Харківської міської ради»</t>
  </si>
  <si>
    <t>Комунальний заклад «Харківський ліцей № 97 Харківської міської ради»</t>
  </si>
  <si>
    <t>Андріївський ліцей №1 Донецької селищної ради Ізюмського району Харківської області</t>
  </si>
  <si>
    <t>Приватний ліцей «Харківський колегіум» Харківської області</t>
  </si>
  <si>
    <t>Слобідський район</t>
  </si>
  <si>
    <t>Люботинська загальноосвітня школа І-ІІІ ступенів № 4 Люботинської міської ради Харківської області</t>
  </si>
  <si>
    <t>Харківська опорна локація</t>
  </si>
  <si>
    <t>Комунальний заклад «Харківська гімназія № 86 Харківської міської ради»</t>
  </si>
  <si>
    <t>Комунальний заклад «Харківський ліцей № 149 Харківської міської ради»</t>
  </si>
  <si>
    <t>Комунальний заклад «Харківський ліцей № 153 Харківської міської ради»</t>
  </si>
  <si>
    <t>КЗ «Глушківський ліцей Курилівської сільської ради Куп’янського району Харківської області»</t>
  </si>
  <si>
    <t>Куп'янська опорна локація</t>
  </si>
  <si>
    <t>Комунальний заклад «Золочівський ліцей №3» Золочівської селищної ради</t>
  </si>
  <si>
    <t>Граківський ліцей Пролісненської селищної ради Чугуївського району Харківської області</t>
  </si>
  <si>
    <t>Комунальний заклад «Харківський ліцей № 37 Харківської міської ради»</t>
  </si>
  <si>
    <t>Комунальний заклад «Харківський ліцей № 162 Харківської міської ради»</t>
  </si>
  <si>
    <t>Куп’янский ліцей № 9 Куп’янської міської ради Харківської області</t>
  </si>
  <si>
    <t>Комунальний заклад «Харківський ліцей № 28 Харківської міської ради»</t>
  </si>
  <si>
    <t>Комунальний заклад «Козачолоанський ліцей» Дергачівської міської ради</t>
  </si>
  <si>
    <t>Комунальний заклад «Харківський ліцей № 124 Харківської міської ради»</t>
  </si>
  <si>
    <t>КЗ «Лозівський ліцей № 10» Лозівської міської ради Харківської області</t>
  </si>
  <si>
    <t>Лозівська опорна локація</t>
  </si>
  <si>
    <t>Комунальний заклад «Чугуївський ліцей № 1 ім. І.Ю. Рєпіна» Чугуївської міської ради Харківської області</t>
  </si>
  <si>
    <t>Комунальний заклад «Харківський ліцей № 144 Харківської міської ради»</t>
  </si>
  <si>
    <t>Комунальний заклад «Харківський ліцей № 24 імені І.Н. Питікова Харківської міської ради»</t>
  </si>
  <si>
    <t>Комунальний заклад «Харківський ліцей № 126 Харківської міської ради»</t>
  </si>
  <si>
    <t>Комунальний заклад «Харківський ліцей № 62 Харківської міської ради»</t>
  </si>
  <si>
    <t>Товариство з обмеженою відповідальністю «Приватний заклад Ліцей Професіонал» Харківської області»</t>
  </si>
  <si>
    <t>Петрівський ліцей Наталинської ради Берестинського району Харківської області</t>
  </si>
  <si>
    <t>Берестинська опорна локація</t>
  </si>
  <si>
    <t>Комунальний заклад «Харківський ліцей № 169 Харківської міської ради»</t>
  </si>
  <si>
    <t>Комунальний заклад «Харківський ліцей № 119 Харківської міської ради»</t>
  </si>
  <si>
    <t>Комунальний заклад «Харківський ліцей № 142 Харківської міської ради»</t>
  </si>
  <si>
    <t>Комунальний заклад «Харківський ліцей № 151 Харківської міської ради»</t>
  </si>
  <si>
    <t>Приватний заклад освіти Харківський ліцей «Авторська кола Бойка» Харківської області</t>
  </si>
  <si>
    <t>Комунальний заклад «Харківський ліцей № 89 Харківської міської ради»</t>
  </si>
  <si>
    <t>Комунальний заклад «Харківський ліцей № 54 Харківської міської ради»</t>
  </si>
  <si>
    <t>Ізюмський ліцей №11 Ізюмської міської ради</t>
  </si>
  <si>
    <t>Комунальний заклад «Харківський ліцей № 23 Харківської міської ради»</t>
  </si>
  <si>
    <t>Донецький ліцей №1 Донецької селищної ради Ізюмського району Харківської області</t>
  </si>
  <si>
    <t>ПІП</t>
  </si>
  <si>
    <t>Клас</t>
  </si>
  <si>
    <t>Заклад освіти</t>
  </si>
  <si>
    <t>Локація</t>
  </si>
  <si>
    <t>Задача 1</t>
  </si>
  <si>
    <t>Задача 2</t>
  </si>
  <si>
    <t>Задача 3</t>
  </si>
  <si>
    <t>Задача 4</t>
  </si>
  <si>
    <t>експеримент</t>
  </si>
  <si>
    <t>8 клас</t>
  </si>
  <si>
    <r>
      <t>max 55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</si>
  <si>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Місце</t>
  </si>
  <si>
    <t>І</t>
  </si>
  <si>
    <t>ІІ</t>
  </si>
  <si>
    <t>ІІІ</t>
  </si>
  <si>
    <t>Новомерчицький ліцей Валківської міськоїради Богодухівського району Харківської області</t>
  </si>
  <si>
    <t>Остаточні результати ІІ (обласного) етапу Всеукраїнської учнівської олімпіади з ФІЗИКИ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</si>
</sst>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434343"/>
      <name val="Arial"/>
      <scheme val="minor"/>
    </font>
    <font>
      <u/>
      <sz val="10"/>
      <color rgb="FF434343"/>
      <name val="Arial"/>
      <scheme val="minor"/>
    </font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434343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7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4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</cellXfs>
  <cellStyles count="1">
    <cellStyle name="Обычный" xfId="0" builtinId="0"/>
  </cellStyles>
  <dxfs count="1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6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K76" headerRowDxfId="12" dataDxfId="11">
  <sortState ref="A2:J76">
    <sortCondition descending="1" ref="J4"/>
  </sortState>
  <tableColumns count="11">
    <tableColumn id="4" name="ПІП" dataDxfId="10"/>
    <tableColumn id="5" name="Клас" dataDxfId="9"/>
    <tableColumn id="6" name="Заклад освіти" dataDxfId="8"/>
    <tableColumn id="7" name="Локація" dataDxfId="7"/>
    <tableColumn id="9" name="Задача 1" dataDxfId="6"/>
    <tableColumn id="10" name="Задача 2" dataDxfId="5"/>
    <tableColumn id="11" name="Задача 3" dataDxfId="4"/>
    <tableColumn id="12" name="Задача 4" dataDxfId="3"/>
    <tableColumn id="13" name="експеримент" dataDxfId="2"/>
    <tableColumn id="14" name="сума" dataDxfId="1"/>
    <tableColumn id="1" name="Місце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2.54296875" defaultRowHeight="15.75" customHeight="1" x14ac:dyDescent="0.25"/>
  <cols>
    <col min="1" max="1" width="23.54296875" customWidth="1"/>
    <col min="2" max="2" width="4.6328125" customWidth="1"/>
    <col min="3" max="3" width="36.36328125" customWidth="1"/>
    <col min="4" max="4" width="19.26953125" customWidth="1"/>
    <col min="5" max="6" width="8.7265625" customWidth="1"/>
    <col min="7" max="8" width="8.54296875" customWidth="1"/>
    <col min="9" max="9" width="11.453125" customWidth="1"/>
    <col min="10" max="10" width="9.36328125" customWidth="1"/>
    <col min="11" max="11" width="6.90625" customWidth="1"/>
  </cols>
  <sheetData>
    <row r="1" spans="1:11" ht="22.5" customHeight="1" x14ac:dyDescent="0.25">
      <c r="A1" s="1" t="s">
        <v>152</v>
      </c>
      <c r="B1" s="1" t="s">
        <v>153</v>
      </c>
      <c r="C1" s="1" t="s">
        <v>154</v>
      </c>
      <c r="D1" s="1" t="s">
        <v>155</v>
      </c>
      <c r="E1" s="1" t="s">
        <v>156</v>
      </c>
      <c r="F1" s="4" t="s">
        <v>157</v>
      </c>
      <c r="G1" s="4" t="s">
        <v>158</v>
      </c>
      <c r="H1" s="1" t="s">
        <v>159</v>
      </c>
      <c r="I1" s="1" t="s">
        <v>160</v>
      </c>
      <c r="J1" s="2" t="s">
        <v>0</v>
      </c>
      <c r="K1" s="7" t="s">
        <v>163</v>
      </c>
    </row>
    <row r="2" spans="1:11" ht="41.5" customHeight="1" x14ac:dyDescent="0.3">
      <c r="A2" s="6" t="s">
        <v>161</v>
      </c>
      <c r="B2" s="1"/>
      <c r="C2" s="8" t="s">
        <v>168</v>
      </c>
      <c r="D2" s="1"/>
      <c r="E2" s="1"/>
      <c r="F2" s="4"/>
      <c r="G2" s="4"/>
      <c r="H2" s="1"/>
      <c r="I2" s="1"/>
      <c r="J2" s="5" t="s">
        <v>162</v>
      </c>
      <c r="K2" s="3"/>
    </row>
    <row r="3" spans="1:11" ht="22.5" customHeight="1" x14ac:dyDescent="0.25">
      <c r="A3" s="21" t="s">
        <v>1</v>
      </c>
      <c r="B3" s="10">
        <v>8</v>
      </c>
      <c r="C3" s="21" t="s">
        <v>138</v>
      </c>
      <c r="D3" s="9" t="s">
        <v>90</v>
      </c>
      <c r="E3" s="11">
        <f>3+(3+0+0)+1</f>
        <v>7</v>
      </c>
      <c r="F3" s="11">
        <v>10</v>
      </c>
      <c r="G3" s="11">
        <f>2+4+1</f>
        <v>7</v>
      </c>
      <c r="H3" s="11">
        <f>4.5+2+3</f>
        <v>9.5</v>
      </c>
      <c r="I3" s="11">
        <f>1+1+8+2+0</f>
        <v>12</v>
      </c>
      <c r="J3" s="24">
        <f t="shared" ref="J3:J29" si="0">E3+F3+G3+H3+I3</f>
        <v>45.5</v>
      </c>
      <c r="K3" s="25" t="s">
        <v>164</v>
      </c>
    </row>
    <row r="4" spans="1:11" ht="22.5" customHeight="1" x14ac:dyDescent="0.25">
      <c r="A4" s="22" t="s">
        <v>2</v>
      </c>
      <c r="B4" s="11">
        <v>8</v>
      </c>
      <c r="C4" s="22" t="s">
        <v>115</v>
      </c>
      <c r="D4" s="20" t="s">
        <v>116</v>
      </c>
      <c r="E4" s="11">
        <f>3+(4+0+0)+1</f>
        <v>8</v>
      </c>
      <c r="F4" s="11">
        <v>7</v>
      </c>
      <c r="G4" s="11">
        <f>2+4+1</f>
        <v>7</v>
      </c>
      <c r="H4" s="11">
        <f>4.5+2+3</f>
        <v>9.5</v>
      </c>
      <c r="I4" s="11">
        <f>1+1+7+1+1</f>
        <v>11</v>
      </c>
      <c r="J4" s="24">
        <f t="shared" si="0"/>
        <v>42.5</v>
      </c>
      <c r="K4" s="25" t="s">
        <v>164</v>
      </c>
    </row>
    <row r="5" spans="1:11" ht="22.5" customHeight="1" x14ac:dyDescent="0.25">
      <c r="A5" s="21" t="s">
        <v>6</v>
      </c>
      <c r="B5" s="10">
        <v>8</v>
      </c>
      <c r="C5" s="21" t="s">
        <v>89</v>
      </c>
      <c r="D5" s="9" t="s">
        <v>90</v>
      </c>
      <c r="E5" s="13">
        <f>3+(3+0+0)+1</f>
        <v>7</v>
      </c>
      <c r="F5" s="13">
        <v>8</v>
      </c>
      <c r="G5" s="13">
        <f>2+4+1</f>
        <v>7</v>
      </c>
      <c r="H5" s="13">
        <f>2+2+3</f>
        <v>7</v>
      </c>
      <c r="I5" s="13">
        <f>1+1+7+2+1</f>
        <v>12</v>
      </c>
      <c r="J5" s="24">
        <f t="shared" si="0"/>
        <v>41</v>
      </c>
      <c r="K5" s="25" t="s">
        <v>164</v>
      </c>
    </row>
    <row r="6" spans="1:11" ht="43" customHeight="1" x14ac:dyDescent="0.25">
      <c r="A6" s="21" t="s">
        <v>3</v>
      </c>
      <c r="B6" s="10">
        <v>8</v>
      </c>
      <c r="C6" s="21" t="s">
        <v>77</v>
      </c>
      <c r="D6" s="9" t="s">
        <v>78</v>
      </c>
      <c r="E6" s="11">
        <f>3+(3+0+0)+1</f>
        <v>7</v>
      </c>
      <c r="F6" s="11">
        <v>8</v>
      </c>
      <c r="G6" s="11">
        <f>2+4+0</f>
        <v>6</v>
      </c>
      <c r="H6" s="11">
        <f>3.5+2+3</f>
        <v>8.5</v>
      </c>
      <c r="I6" s="11">
        <f>1+1+6.5+2+1</f>
        <v>11.5</v>
      </c>
      <c r="J6" s="24">
        <f t="shared" si="0"/>
        <v>41</v>
      </c>
      <c r="K6" s="25" t="s">
        <v>164</v>
      </c>
    </row>
    <row r="7" spans="1:11" ht="36" customHeight="1" x14ac:dyDescent="0.25">
      <c r="A7" s="21" t="s">
        <v>38</v>
      </c>
      <c r="B7" s="10">
        <v>8</v>
      </c>
      <c r="C7" s="21" t="s">
        <v>130</v>
      </c>
      <c r="D7" s="9" t="s">
        <v>118</v>
      </c>
      <c r="E7" s="11">
        <f>3+(3+0+0)+1</f>
        <v>7</v>
      </c>
      <c r="F7" s="11">
        <v>4</v>
      </c>
      <c r="G7" s="11">
        <f>2+3+4</f>
        <v>9</v>
      </c>
      <c r="H7" s="11">
        <f>3.5+2+3</f>
        <v>8.5</v>
      </c>
      <c r="I7" s="11">
        <f>1+1+7.5+2+1</f>
        <v>12.5</v>
      </c>
      <c r="J7" s="24">
        <f t="shared" si="0"/>
        <v>41</v>
      </c>
      <c r="K7" s="25" t="s">
        <v>164</v>
      </c>
    </row>
    <row r="8" spans="1:11" ht="22.5" customHeight="1" x14ac:dyDescent="0.25">
      <c r="A8" s="21" t="s">
        <v>7</v>
      </c>
      <c r="B8" s="10">
        <v>8</v>
      </c>
      <c r="C8" s="21" t="s">
        <v>85</v>
      </c>
      <c r="D8" s="9" t="s">
        <v>76</v>
      </c>
      <c r="E8" s="11">
        <f>3+(2+0+0)+1</f>
        <v>6</v>
      </c>
      <c r="F8" s="14">
        <v>9</v>
      </c>
      <c r="G8" s="15">
        <f>1+3+2</f>
        <v>6</v>
      </c>
      <c r="H8" s="13">
        <f>2.5+2+3</f>
        <v>7.5</v>
      </c>
      <c r="I8" s="13">
        <f>1+1+7+2+1</f>
        <v>12</v>
      </c>
      <c r="J8" s="24">
        <f t="shared" si="0"/>
        <v>40.5</v>
      </c>
      <c r="K8" s="25" t="s">
        <v>164</v>
      </c>
    </row>
    <row r="9" spans="1:11" ht="22.5" customHeight="1" x14ac:dyDescent="0.25">
      <c r="A9" s="21" t="s">
        <v>4</v>
      </c>
      <c r="B9" s="10">
        <v>8</v>
      </c>
      <c r="C9" s="21" t="s">
        <v>112</v>
      </c>
      <c r="D9" s="9" t="s">
        <v>76</v>
      </c>
      <c r="E9" s="11">
        <f>3+(3+0+0)+1</f>
        <v>7</v>
      </c>
      <c r="F9" s="11">
        <v>10</v>
      </c>
      <c r="G9" s="11">
        <f>2+3+2</f>
        <v>7</v>
      </c>
      <c r="H9" s="11">
        <f>2.5 +1.5 +3</f>
        <v>7</v>
      </c>
      <c r="I9" s="11">
        <f>1+1+5.5+2+0</f>
        <v>9.5</v>
      </c>
      <c r="J9" s="24">
        <f t="shared" si="0"/>
        <v>40.5</v>
      </c>
      <c r="K9" s="25" t="s">
        <v>164</v>
      </c>
    </row>
    <row r="10" spans="1:11" ht="22.5" customHeight="1" x14ac:dyDescent="0.25">
      <c r="A10" s="21" t="s">
        <v>8</v>
      </c>
      <c r="B10" s="10">
        <v>8</v>
      </c>
      <c r="C10" s="21" t="s">
        <v>81</v>
      </c>
      <c r="D10" s="9" t="s">
        <v>82</v>
      </c>
      <c r="E10" s="11">
        <f>3+(3+0+0)+2</f>
        <v>8</v>
      </c>
      <c r="F10" s="11">
        <v>8</v>
      </c>
      <c r="G10" s="11">
        <f>1+4+2</f>
        <v>7</v>
      </c>
      <c r="H10" s="11">
        <f>3.5 +2 +0</f>
        <v>5.5</v>
      </c>
      <c r="I10" s="11">
        <f>1+1+7.5+0+1</f>
        <v>10.5</v>
      </c>
      <c r="J10" s="24">
        <f t="shared" si="0"/>
        <v>39</v>
      </c>
      <c r="K10" s="25" t="s">
        <v>165</v>
      </c>
    </row>
    <row r="11" spans="1:11" ht="22.5" customHeight="1" x14ac:dyDescent="0.25">
      <c r="A11" s="21" t="s">
        <v>5</v>
      </c>
      <c r="B11" s="10">
        <v>8</v>
      </c>
      <c r="C11" s="21" t="s">
        <v>111</v>
      </c>
      <c r="D11" s="9" t="s">
        <v>76</v>
      </c>
      <c r="E11" s="11">
        <f>3+(3+0+0)+0.5</f>
        <v>6.5</v>
      </c>
      <c r="F11" s="11">
        <v>8</v>
      </c>
      <c r="G11" s="11">
        <f>2+4+(0.5+1.5+0.5)</f>
        <v>8.5</v>
      </c>
      <c r="H11" s="16">
        <f>2+1+1</f>
        <v>4</v>
      </c>
      <c r="I11" s="11">
        <f>1+1+8+1+1</f>
        <v>12</v>
      </c>
      <c r="J11" s="24">
        <f t="shared" si="0"/>
        <v>39</v>
      </c>
      <c r="K11" s="25" t="s">
        <v>165</v>
      </c>
    </row>
    <row r="12" spans="1:11" ht="22.5" customHeight="1" x14ac:dyDescent="0.25">
      <c r="A12" s="21" t="s">
        <v>73</v>
      </c>
      <c r="B12" s="10">
        <v>8</v>
      </c>
      <c r="C12" s="21" t="s">
        <v>147</v>
      </c>
      <c r="D12" s="9" t="s">
        <v>76</v>
      </c>
      <c r="E12" s="11">
        <f>3+(3+0+0)+1</f>
        <v>7</v>
      </c>
      <c r="F12" s="11">
        <v>4</v>
      </c>
      <c r="G12" s="11">
        <f>1+3+1.5</f>
        <v>5.5</v>
      </c>
      <c r="H12" s="11">
        <f>3.5+2+3</f>
        <v>8.5</v>
      </c>
      <c r="I12" s="11">
        <f>1+1+8+2+1</f>
        <v>13</v>
      </c>
      <c r="J12" s="24">
        <f t="shared" si="0"/>
        <v>38</v>
      </c>
      <c r="K12" s="25" t="s">
        <v>165</v>
      </c>
    </row>
    <row r="13" spans="1:11" ht="22.5" customHeight="1" x14ac:dyDescent="0.25">
      <c r="A13" s="21" t="s">
        <v>40</v>
      </c>
      <c r="B13" s="10">
        <v>8</v>
      </c>
      <c r="C13" s="21" t="s">
        <v>124</v>
      </c>
      <c r="D13" s="9" t="s">
        <v>107</v>
      </c>
      <c r="E13" s="11">
        <f>3+(4)+1</f>
        <v>8</v>
      </c>
      <c r="F13" s="11">
        <v>5</v>
      </c>
      <c r="G13" s="11">
        <f>2+3</f>
        <v>5</v>
      </c>
      <c r="H13" s="17">
        <f>3.5+2+3</f>
        <v>8.5</v>
      </c>
      <c r="I13" s="11">
        <f>1+1+6+2+1</f>
        <v>11</v>
      </c>
      <c r="J13" s="24">
        <f t="shared" si="0"/>
        <v>37.5</v>
      </c>
      <c r="K13" s="25" t="s">
        <v>165</v>
      </c>
    </row>
    <row r="14" spans="1:11" ht="22.5" customHeight="1" x14ac:dyDescent="0.25">
      <c r="A14" s="21" t="s">
        <v>41</v>
      </c>
      <c r="B14" s="10">
        <v>8</v>
      </c>
      <c r="C14" s="21" t="s">
        <v>81</v>
      </c>
      <c r="D14" s="9" t="s">
        <v>82</v>
      </c>
      <c r="E14" s="11">
        <f>3+(3+0+0)+1</f>
        <v>7</v>
      </c>
      <c r="F14" s="11">
        <v>8</v>
      </c>
      <c r="G14" s="11">
        <f>1+3+0</f>
        <v>4</v>
      </c>
      <c r="H14" s="11">
        <f>3.5+2+3</f>
        <v>8.5</v>
      </c>
      <c r="I14" s="11">
        <f>1+1+6+2+0</f>
        <v>10</v>
      </c>
      <c r="J14" s="24">
        <f t="shared" si="0"/>
        <v>37.5</v>
      </c>
      <c r="K14" s="25" t="s">
        <v>165</v>
      </c>
    </row>
    <row r="15" spans="1:11" ht="22.5" customHeight="1" x14ac:dyDescent="0.25">
      <c r="A15" s="21" t="s">
        <v>9</v>
      </c>
      <c r="B15" s="10">
        <v>8</v>
      </c>
      <c r="C15" s="21" t="s">
        <v>75</v>
      </c>
      <c r="D15" s="9" t="s">
        <v>76</v>
      </c>
      <c r="E15" s="11">
        <f>3+(3+0+0)+1</f>
        <v>7</v>
      </c>
      <c r="F15" s="11">
        <v>3</v>
      </c>
      <c r="G15" s="11">
        <f>2+3+1</f>
        <v>6</v>
      </c>
      <c r="H15" s="11">
        <f>3+2+3</f>
        <v>8</v>
      </c>
      <c r="I15" s="11">
        <f>1+1+8+2+1</f>
        <v>13</v>
      </c>
      <c r="J15" s="24">
        <f t="shared" si="0"/>
        <v>37</v>
      </c>
      <c r="K15" s="25" t="s">
        <v>165</v>
      </c>
    </row>
    <row r="16" spans="1:11" ht="22.5" customHeight="1" x14ac:dyDescent="0.25">
      <c r="A16" s="21" t="s">
        <v>39</v>
      </c>
      <c r="B16" s="10">
        <v>8</v>
      </c>
      <c r="C16" s="21" t="s">
        <v>127</v>
      </c>
      <c r="D16" s="9" t="s">
        <v>98</v>
      </c>
      <c r="E16" s="11">
        <f>3+(2+0+0)+0</f>
        <v>5</v>
      </c>
      <c r="F16" s="11">
        <v>5</v>
      </c>
      <c r="G16" s="11">
        <f>1+3+1</f>
        <v>5</v>
      </c>
      <c r="H16" s="18">
        <f>2.5+2+3</f>
        <v>7.5</v>
      </c>
      <c r="I16" s="11">
        <f>1+1+8+2+1</f>
        <v>13</v>
      </c>
      <c r="J16" s="24">
        <f t="shared" si="0"/>
        <v>35.5</v>
      </c>
      <c r="K16" s="25" t="s">
        <v>165</v>
      </c>
    </row>
    <row r="17" spans="1:11" ht="22.5" customHeight="1" x14ac:dyDescent="0.25">
      <c r="A17" s="21" t="s">
        <v>72</v>
      </c>
      <c r="B17" s="10">
        <v>8</v>
      </c>
      <c r="C17" s="21" t="s">
        <v>149</v>
      </c>
      <c r="D17" s="9" t="s">
        <v>92</v>
      </c>
      <c r="E17" s="11">
        <f>3+(3+0+0)+0</f>
        <v>6</v>
      </c>
      <c r="F17" s="11">
        <v>5</v>
      </c>
      <c r="G17" s="11">
        <f>2+3+0</f>
        <v>5</v>
      </c>
      <c r="H17" s="11">
        <f>2.5+2+1.5</f>
        <v>6</v>
      </c>
      <c r="I17" s="11">
        <f>1+1+8+2+1</f>
        <v>13</v>
      </c>
      <c r="J17" s="24">
        <f t="shared" si="0"/>
        <v>35</v>
      </c>
      <c r="K17" s="25" t="s">
        <v>165</v>
      </c>
    </row>
    <row r="18" spans="1:11" ht="38" customHeight="1" x14ac:dyDescent="0.25">
      <c r="A18" s="21" t="s">
        <v>71</v>
      </c>
      <c r="B18" s="10">
        <v>8</v>
      </c>
      <c r="C18" s="21" t="s">
        <v>139</v>
      </c>
      <c r="D18" s="9" t="s">
        <v>90</v>
      </c>
      <c r="E18" s="11">
        <f>3+(1+0+0)+0</f>
        <v>4</v>
      </c>
      <c r="F18" s="11">
        <v>7</v>
      </c>
      <c r="G18" s="11">
        <f>2+3+1</f>
        <v>6</v>
      </c>
      <c r="H18" s="11">
        <f>3.5+2+3</f>
        <v>8.5</v>
      </c>
      <c r="I18" s="11">
        <f>1+1+5+1+1</f>
        <v>9</v>
      </c>
      <c r="J18" s="24">
        <f t="shared" si="0"/>
        <v>34.5</v>
      </c>
      <c r="K18" s="25" t="s">
        <v>165</v>
      </c>
    </row>
    <row r="19" spans="1:11" ht="34.5" customHeight="1" x14ac:dyDescent="0.25">
      <c r="A19" s="21" t="s">
        <v>10</v>
      </c>
      <c r="B19" s="10">
        <v>8</v>
      </c>
      <c r="C19" s="21" t="s">
        <v>97</v>
      </c>
      <c r="D19" s="9" t="s">
        <v>98</v>
      </c>
      <c r="E19" s="11">
        <f>3+(4)+1</f>
        <v>8</v>
      </c>
      <c r="F19" s="11">
        <v>2</v>
      </c>
      <c r="G19" s="11">
        <f>1+3+0</f>
        <v>4</v>
      </c>
      <c r="H19" s="11">
        <f>3+2+3</f>
        <v>8</v>
      </c>
      <c r="I19" s="11">
        <f>1+1+7+2+1</f>
        <v>12</v>
      </c>
      <c r="J19" s="24">
        <f t="shared" si="0"/>
        <v>34</v>
      </c>
      <c r="K19" s="25" t="s">
        <v>165</v>
      </c>
    </row>
    <row r="20" spans="1:11" ht="22.5" customHeight="1" x14ac:dyDescent="0.25">
      <c r="A20" s="21" t="s">
        <v>11</v>
      </c>
      <c r="B20" s="10">
        <v>8</v>
      </c>
      <c r="C20" s="21" t="s">
        <v>99</v>
      </c>
      <c r="D20" s="9" t="s">
        <v>100</v>
      </c>
      <c r="E20" s="11">
        <f>3+(3+0+0)+1</f>
        <v>7</v>
      </c>
      <c r="F20" s="11">
        <v>4</v>
      </c>
      <c r="G20" s="11">
        <f>1+3+0</f>
        <v>4</v>
      </c>
      <c r="H20" s="11">
        <f>4+2+3</f>
        <v>9</v>
      </c>
      <c r="I20" s="11">
        <f>1+1+5+2+1</f>
        <v>10</v>
      </c>
      <c r="J20" s="24">
        <f t="shared" si="0"/>
        <v>34</v>
      </c>
      <c r="K20" s="25" t="s">
        <v>165</v>
      </c>
    </row>
    <row r="21" spans="1:11" ht="22.5" customHeight="1" x14ac:dyDescent="0.25">
      <c r="A21" s="21" t="s">
        <v>70</v>
      </c>
      <c r="B21" s="10">
        <v>8</v>
      </c>
      <c r="C21" s="21" t="s">
        <v>143</v>
      </c>
      <c r="D21" s="9" t="s">
        <v>100</v>
      </c>
      <c r="E21" s="11">
        <f>3+(1+0+0)+1</f>
        <v>5</v>
      </c>
      <c r="F21" s="11">
        <v>6</v>
      </c>
      <c r="G21" s="11">
        <f>1+3+0</f>
        <v>4</v>
      </c>
      <c r="H21" s="11">
        <f>1+2+3</f>
        <v>6</v>
      </c>
      <c r="I21" s="11">
        <f>1+1+8+2+1</f>
        <v>13</v>
      </c>
      <c r="J21" s="24">
        <f t="shared" si="0"/>
        <v>34</v>
      </c>
      <c r="K21" s="25" t="s">
        <v>165</v>
      </c>
    </row>
    <row r="22" spans="1:11" ht="22.5" customHeight="1" x14ac:dyDescent="0.25">
      <c r="A22" s="21" t="s">
        <v>12</v>
      </c>
      <c r="B22" s="10">
        <v>8</v>
      </c>
      <c r="C22" s="21" t="s">
        <v>83</v>
      </c>
      <c r="D22" s="9" t="s">
        <v>84</v>
      </c>
      <c r="E22" s="11">
        <f>3+(4)+1</f>
        <v>8</v>
      </c>
      <c r="F22" s="11">
        <v>4</v>
      </c>
      <c r="G22" s="11">
        <v>2</v>
      </c>
      <c r="H22" s="11">
        <f>1+2+2</f>
        <v>5</v>
      </c>
      <c r="I22" s="11">
        <f>1+1+8+2+1</f>
        <v>13</v>
      </c>
      <c r="J22" s="24">
        <f t="shared" si="0"/>
        <v>32</v>
      </c>
      <c r="K22" s="25" t="s">
        <v>166</v>
      </c>
    </row>
    <row r="23" spans="1:11" ht="35" customHeight="1" x14ac:dyDescent="0.25">
      <c r="A23" s="21" t="s">
        <v>37</v>
      </c>
      <c r="B23" s="10">
        <v>8</v>
      </c>
      <c r="C23" s="21" t="s">
        <v>114</v>
      </c>
      <c r="D23" s="9" t="s">
        <v>92</v>
      </c>
      <c r="E23" s="11">
        <f>3+(2+0+0)+1</f>
        <v>6</v>
      </c>
      <c r="F23" s="11">
        <v>7</v>
      </c>
      <c r="G23" s="11">
        <f>1+3+0</f>
        <v>4</v>
      </c>
      <c r="H23" s="11">
        <f>2.5+2+3</f>
        <v>7.5</v>
      </c>
      <c r="I23" s="11">
        <f>1+1+3+2+0</f>
        <v>7</v>
      </c>
      <c r="J23" s="24">
        <f t="shared" si="0"/>
        <v>31.5</v>
      </c>
      <c r="K23" s="25" t="s">
        <v>166</v>
      </c>
    </row>
    <row r="24" spans="1:11" ht="22.5" customHeight="1" x14ac:dyDescent="0.25">
      <c r="A24" s="21" t="s">
        <v>42</v>
      </c>
      <c r="B24" s="10">
        <v>8</v>
      </c>
      <c r="C24" s="21" t="s">
        <v>137</v>
      </c>
      <c r="D24" s="9" t="s">
        <v>109</v>
      </c>
      <c r="E24" s="11">
        <f>3+(1+0+0)+0</f>
        <v>4</v>
      </c>
      <c r="F24" s="11">
        <v>7</v>
      </c>
      <c r="G24" s="11">
        <f>2+3+1</f>
        <v>6</v>
      </c>
      <c r="H24" s="11">
        <f>2.5+2+3</f>
        <v>7.5</v>
      </c>
      <c r="I24" s="11">
        <f>1+1+2+2+1</f>
        <v>7</v>
      </c>
      <c r="J24" s="24">
        <f t="shared" si="0"/>
        <v>31.5</v>
      </c>
      <c r="K24" s="25" t="s">
        <v>166</v>
      </c>
    </row>
    <row r="25" spans="1:11" ht="22.5" customHeight="1" x14ac:dyDescent="0.25">
      <c r="A25" s="21" t="s">
        <v>13</v>
      </c>
      <c r="B25" s="10">
        <v>8</v>
      </c>
      <c r="C25" s="21" t="s">
        <v>101</v>
      </c>
      <c r="D25" s="9" t="s">
        <v>78</v>
      </c>
      <c r="E25" s="11">
        <f>3+(3+0+0)+0</f>
        <v>6</v>
      </c>
      <c r="F25" s="11">
        <v>7</v>
      </c>
      <c r="G25" s="11">
        <f>1+3+0</f>
        <v>4</v>
      </c>
      <c r="H25" s="19">
        <f>1+0+0</f>
        <v>1</v>
      </c>
      <c r="I25" s="11">
        <f>1+1+8+2+1</f>
        <v>13</v>
      </c>
      <c r="J25" s="24">
        <f t="shared" si="0"/>
        <v>31</v>
      </c>
      <c r="K25" s="25" t="s">
        <v>166</v>
      </c>
    </row>
    <row r="26" spans="1:11" ht="22.5" customHeight="1" x14ac:dyDescent="0.25">
      <c r="A26" s="21" t="s">
        <v>14</v>
      </c>
      <c r="B26" s="10">
        <v>8</v>
      </c>
      <c r="C26" s="21" t="s">
        <v>106</v>
      </c>
      <c r="D26" s="9" t="s">
        <v>82</v>
      </c>
      <c r="E26" s="11">
        <f>3+(3+0+0)+1</f>
        <v>7</v>
      </c>
      <c r="F26" s="11">
        <v>10</v>
      </c>
      <c r="G26" s="11">
        <f>2+3+1</f>
        <v>6</v>
      </c>
      <c r="H26" s="11">
        <f>3.5+1.5+3</f>
        <v>8</v>
      </c>
      <c r="I26" s="11">
        <v>0</v>
      </c>
      <c r="J26" s="24">
        <f t="shared" si="0"/>
        <v>31</v>
      </c>
      <c r="K26" s="25" t="s">
        <v>166</v>
      </c>
    </row>
    <row r="27" spans="1:11" ht="22.5" customHeight="1" x14ac:dyDescent="0.25">
      <c r="A27" s="21" t="s">
        <v>36</v>
      </c>
      <c r="B27" s="10">
        <v>8</v>
      </c>
      <c r="C27" s="21" t="s">
        <v>108</v>
      </c>
      <c r="D27" s="9" t="s">
        <v>109</v>
      </c>
      <c r="E27" s="11">
        <f>3+(3+0+0)+1</f>
        <v>7</v>
      </c>
      <c r="F27" s="11">
        <v>4</v>
      </c>
      <c r="G27" s="11">
        <f>2+3+0</f>
        <v>5</v>
      </c>
      <c r="H27" s="11">
        <f>2.5+2+3</f>
        <v>7.5</v>
      </c>
      <c r="I27" s="11">
        <f>1+1+3+1+0</f>
        <v>6</v>
      </c>
      <c r="J27" s="24">
        <f t="shared" si="0"/>
        <v>29.5</v>
      </c>
      <c r="K27" s="25" t="s">
        <v>166</v>
      </c>
    </row>
    <row r="28" spans="1:11" ht="22.5" customHeight="1" x14ac:dyDescent="0.25">
      <c r="A28" s="21" t="s">
        <v>43</v>
      </c>
      <c r="B28" s="10">
        <v>8</v>
      </c>
      <c r="C28" s="21" t="s">
        <v>121</v>
      </c>
      <c r="D28" s="9" t="s">
        <v>98</v>
      </c>
      <c r="E28" s="11">
        <f>2+(0.5+0+0)+0.5</f>
        <v>3</v>
      </c>
      <c r="F28" s="11">
        <v>5</v>
      </c>
      <c r="G28" s="11">
        <f>1+3</f>
        <v>4</v>
      </c>
      <c r="H28" s="18">
        <f>2.5+2+3</f>
        <v>7.5</v>
      </c>
      <c r="I28" s="11">
        <f>1+1+5+2+1</f>
        <v>10</v>
      </c>
      <c r="J28" s="24">
        <f t="shared" si="0"/>
        <v>29.5</v>
      </c>
      <c r="K28" s="25" t="s">
        <v>166</v>
      </c>
    </row>
    <row r="29" spans="1:11" ht="22.5" customHeight="1" x14ac:dyDescent="0.25">
      <c r="A29" s="21" t="s">
        <v>69</v>
      </c>
      <c r="B29" s="10">
        <v>8</v>
      </c>
      <c r="C29" s="21" t="s">
        <v>148</v>
      </c>
      <c r="D29" s="9" t="s">
        <v>98</v>
      </c>
      <c r="E29" s="11">
        <f>3+(3+0+0)+1</f>
        <v>7</v>
      </c>
      <c r="F29" s="11">
        <v>2</v>
      </c>
      <c r="G29" s="11">
        <f>1+3+0</f>
        <v>4</v>
      </c>
      <c r="H29" s="11">
        <f>2.5+2+3</f>
        <v>7.5</v>
      </c>
      <c r="I29" s="11">
        <f>1+1+6+0.5+0.5</f>
        <v>9</v>
      </c>
      <c r="J29" s="24">
        <f t="shared" si="0"/>
        <v>29.5</v>
      </c>
      <c r="K29" s="25" t="s">
        <v>166</v>
      </c>
    </row>
    <row r="30" spans="1:11" ht="22.5" customHeight="1" x14ac:dyDescent="0.25">
      <c r="A30" s="21" t="s">
        <v>68</v>
      </c>
      <c r="B30" s="10">
        <v>8</v>
      </c>
      <c r="C30" s="21" t="s">
        <v>150</v>
      </c>
      <c r="D30" s="9" t="s">
        <v>82</v>
      </c>
      <c r="E30" s="11">
        <f>3+(2+0+0)+0</f>
        <v>5</v>
      </c>
      <c r="F30" s="11">
        <v>4</v>
      </c>
      <c r="G30" s="11">
        <f>2+3+1</f>
        <v>6</v>
      </c>
      <c r="H30" s="11">
        <f>2.5+2+3</f>
        <v>7.5</v>
      </c>
      <c r="I30" s="11">
        <f>1+1+5+0</f>
        <v>7</v>
      </c>
      <c r="J30" s="24">
        <v>29.5</v>
      </c>
      <c r="K30" s="25" t="s">
        <v>166</v>
      </c>
    </row>
    <row r="31" spans="1:11" ht="22.5" customHeight="1" x14ac:dyDescent="0.25">
      <c r="A31" s="21" t="s">
        <v>44</v>
      </c>
      <c r="B31" s="10">
        <v>8</v>
      </c>
      <c r="C31" s="21" t="s">
        <v>135</v>
      </c>
      <c r="D31" s="9" t="s">
        <v>82</v>
      </c>
      <c r="E31" s="11">
        <f>3+(1+0+0)+0</f>
        <v>4</v>
      </c>
      <c r="F31" s="11">
        <v>6</v>
      </c>
      <c r="G31" s="11">
        <f>2+3+0</f>
        <v>5</v>
      </c>
      <c r="H31" s="11">
        <f>3.5+2+1.5</f>
        <v>7</v>
      </c>
      <c r="I31" s="11">
        <f>1+1+5+0+0</f>
        <v>7</v>
      </c>
      <c r="J31" s="24">
        <f t="shared" ref="J31:J75" si="1">E31+F31+G31+H31+I31</f>
        <v>29</v>
      </c>
      <c r="K31" s="25" t="s">
        <v>166</v>
      </c>
    </row>
    <row r="32" spans="1:11" ht="22.5" customHeight="1" x14ac:dyDescent="0.25">
      <c r="A32" s="23" t="s">
        <v>67</v>
      </c>
      <c r="B32" s="10">
        <v>8</v>
      </c>
      <c r="C32" s="21" t="s">
        <v>144</v>
      </c>
      <c r="D32" s="9" t="s">
        <v>82</v>
      </c>
      <c r="E32" s="11">
        <f>3+(2+0+0)+0.5</f>
        <v>5.5</v>
      </c>
      <c r="F32" s="11">
        <v>7</v>
      </c>
      <c r="G32" s="11">
        <f>2+3+0</f>
        <v>5</v>
      </c>
      <c r="H32" s="11">
        <f>1.5+2+3</f>
        <v>6.5</v>
      </c>
      <c r="I32" s="11">
        <f>1+1+1+2+0</f>
        <v>5</v>
      </c>
      <c r="J32" s="24">
        <f t="shared" si="1"/>
        <v>29</v>
      </c>
      <c r="K32" s="25" t="s">
        <v>166</v>
      </c>
    </row>
    <row r="33" spans="1:11" ht="35" customHeight="1" x14ac:dyDescent="0.25">
      <c r="A33" s="21" t="s">
        <v>15</v>
      </c>
      <c r="B33" s="10">
        <v>8</v>
      </c>
      <c r="C33" s="21" t="s">
        <v>104</v>
      </c>
      <c r="D33" s="9" t="s">
        <v>105</v>
      </c>
      <c r="E33" s="11">
        <f>3+(3+0+0)+0</f>
        <v>6</v>
      </c>
      <c r="F33" s="11">
        <v>5</v>
      </c>
      <c r="G33" s="11">
        <f>2+0+0</f>
        <v>2</v>
      </c>
      <c r="H33" s="11">
        <f>0+2+3</f>
        <v>5</v>
      </c>
      <c r="I33" s="11">
        <f>1+1+8</f>
        <v>10</v>
      </c>
      <c r="J33" s="24">
        <f t="shared" si="1"/>
        <v>28</v>
      </c>
      <c r="K33" s="25" t="s">
        <v>166</v>
      </c>
    </row>
    <row r="34" spans="1:11" ht="22.5" customHeight="1" x14ac:dyDescent="0.25">
      <c r="A34" s="23" t="s">
        <v>35</v>
      </c>
      <c r="B34" s="10">
        <v>8</v>
      </c>
      <c r="C34" s="21" t="s">
        <v>110</v>
      </c>
      <c r="D34" s="9" t="s">
        <v>76</v>
      </c>
      <c r="E34" s="11">
        <f>3+(1+0+0)+1</f>
        <v>5</v>
      </c>
      <c r="F34" s="11">
        <v>6</v>
      </c>
      <c r="G34" s="11">
        <f>1+3+0</f>
        <v>4</v>
      </c>
      <c r="H34" s="11">
        <f>2.5 +1.5 +3</f>
        <v>7</v>
      </c>
      <c r="I34" s="11">
        <f>1+1+1+2+1</f>
        <v>6</v>
      </c>
      <c r="J34" s="24">
        <f t="shared" si="1"/>
        <v>28</v>
      </c>
      <c r="K34" s="25" t="s">
        <v>166</v>
      </c>
    </row>
    <row r="35" spans="1:11" ht="22.5" customHeight="1" x14ac:dyDescent="0.25">
      <c r="A35" s="23" t="s">
        <v>66</v>
      </c>
      <c r="B35" s="10">
        <v>8</v>
      </c>
      <c r="C35" s="21" t="s">
        <v>86</v>
      </c>
      <c r="D35" s="9" t="s">
        <v>76</v>
      </c>
      <c r="E35" s="11">
        <f>3+(2+0+0)+2</f>
        <v>7</v>
      </c>
      <c r="F35" s="11">
        <v>10</v>
      </c>
      <c r="G35" s="11">
        <f>1+3+4</f>
        <v>8</v>
      </c>
      <c r="H35" s="11">
        <v>0</v>
      </c>
      <c r="I35" s="11">
        <f>1+1+1</f>
        <v>3</v>
      </c>
      <c r="J35" s="24">
        <f t="shared" si="1"/>
        <v>28</v>
      </c>
      <c r="K35" s="25" t="s">
        <v>166</v>
      </c>
    </row>
    <row r="36" spans="1:11" ht="22.5" customHeight="1" x14ac:dyDescent="0.25">
      <c r="A36" s="21" t="s">
        <v>45</v>
      </c>
      <c r="B36" s="10">
        <v>8</v>
      </c>
      <c r="C36" s="21" t="s">
        <v>129</v>
      </c>
      <c r="D36" s="9" t="s">
        <v>98</v>
      </c>
      <c r="E36" s="11">
        <f>3+(1+0+0)+1</f>
        <v>5</v>
      </c>
      <c r="F36" s="11">
        <v>4</v>
      </c>
      <c r="G36" s="11">
        <f>1+3+0</f>
        <v>4</v>
      </c>
      <c r="H36" s="18">
        <f>2.5+1+2</f>
        <v>5.5</v>
      </c>
      <c r="I36" s="11">
        <f>1+1+5+2+0</f>
        <v>9</v>
      </c>
      <c r="J36" s="24">
        <f t="shared" si="1"/>
        <v>27.5</v>
      </c>
      <c r="K36" s="25" t="s">
        <v>166</v>
      </c>
    </row>
    <row r="37" spans="1:11" ht="34" customHeight="1" x14ac:dyDescent="0.25">
      <c r="A37" s="21" t="s">
        <v>46</v>
      </c>
      <c r="B37" s="10">
        <v>8</v>
      </c>
      <c r="C37" s="21" t="s">
        <v>79</v>
      </c>
      <c r="D37" s="9" t="s">
        <v>80</v>
      </c>
      <c r="E37" s="11">
        <f>3+(0+0+0)+0</f>
        <v>3</v>
      </c>
      <c r="F37" s="11">
        <v>2</v>
      </c>
      <c r="G37" s="11">
        <f>1+3+0</f>
        <v>4</v>
      </c>
      <c r="H37" s="11">
        <f>2+2+3</f>
        <v>7</v>
      </c>
      <c r="I37" s="11">
        <f>1+1+6+2+1</f>
        <v>11</v>
      </c>
      <c r="J37" s="24">
        <f t="shared" si="1"/>
        <v>27</v>
      </c>
      <c r="K37" s="25" t="s">
        <v>166</v>
      </c>
    </row>
    <row r="38" spans="1:11" ht="44.5" customHeight="1" x14ac:dyDescent="0.25">
      <c r="A38" s="21" t="s">
        <v>16</v>
      </c>
      <c r="B38" s="10">
        <v>8</v>
      </c>
      <c r="C38" s="21" t="s">
        <v>93</v>
      </c>
      <c r="D38" s="9" t="s">
        <v>88</v>
      </c>
      <c r="E38" s="11">
        <f>3+(2+0+0)+1</f>
        <v>6</v>
      </c>
      <c r="F38" s="11">
        <v>2</v>
      </c>
      <c r="G38" s="11">
        <f>1+3+0</f>
        <v>4</v>
      </c>
      <c r="H38" s="11">
        <f>2.5 +1.5 +3</f>
        <v>7</v>
      </c>
      <c r="I38" s="11">
        <f>1+1+2+2+0</f>
        <v>6</v>
      </c>
      <c r="J38" s="24">
        <f t="shared" si="1"/>
        <v>25</v>
      </c>
      <c r="K38" s="25"/>
    </row>
    <row r="39" spans="1:11" ht="33" customHeight="1" x14ac:dyDescent="0.25">
      <c r="A39" s="22" t="s">
        <v>17</v>
      </c>
      <c r="B39" s="11">
        <v>8</v>
      </c>
      <c r="C39" s="26" t="s">
        <v>167</v>
      </c>
      <c r="D39" s="20" t="s">
        <v>107</v>
      </c>
      <c r="E39" s="11">
        <f>3+(0+0+0)+1</f>
        <v>4</v>
      </c>
      <c r="F39" s="11">
        <v>7</v>
      </c>
      <c r="G39" s="11">
        <f>1+2+0</f>
        <v>3</v>
      </c>
      <c r="H39" s="11">
        <v>0</v>
      </c>
      <c r="I39" s="11">
        <f>1+1+8+1+0</f>
        <v>11</v>
      </c>
      <c r="J39" s="24">
        <f t="shared" si="1"/>
        <v>25</v>
      </c>
      <c r="K39" s="25"/>
    </row>
    <row r="40" spans="1:11" ht="33" customHeight="1" x14ac:dyDescent="0.25">
      <c r="A40" s="21" t="s">
        <v>33</v>
      </c>
      <c r="B40" s="10">
        <v>8</v>
      </c>
      <c r="C40" s="21" t="s">
        <v>74</v>
      </c>
      <c r="D40" s="9" t="s">
        <v>74</v>
      </c>
      <c r="E40" s="11">
        <f>2+(2+0+0)+1</f>
        <v>5</v>
      </c>
      <c r="F40" s="11">
        <v>10</v>
      </c>
      <c r="G40" s="11">
        <f>1+2</f>
        <v>3</v>
      </c>
      <c r="H40" s="11">
        <f>2+2+3</f>
        <v>7</v>
      </c>
      <c r="I40" s="11">
        <v>0</v>
      </c>
      <c r="J40" s="24">
        <f t="shared" si="1"/>
        <v>25</v>
      </c>
      <c r="K40" s="25"/>
    </row>
    <row r="41" spans="1:11" ht="22.5" customHeight="1" x14ac:dyDescent="0.25">
      <c r="A41" s="21" t="s">
        <v>34</v>
      </c>
      <c r="B41" s="10">
        <v>8</v>
      </c>
      <c r="C41" s="21" t="s">
        <v>119</v>
      </c>
      <c r="D41" s="9" t="s">
        <v>109</v>
      </c>
      <c r="E41" s="11">
        <f>3+(2+0+0)+1</f>
        <v>6</v>
      </c>
      <c r="F41" s="11">
        <v>2</v>
      </c>
      <c r="G41" s="11">
        <f>1+2</f>
        <v>3</v>
      </c>
      <c r="H41" s="11">
        <f>2+2+3</f>
        <v>7</v>
      </c>
      <c r="I41" s="11">
        <f>0.5+0.5+2.5+2+1</f>
        <v>6.5</v>
      </c>
      <c r="J41" s="24">
        <f t="shared" si="1"/>
        <v>24.5</v>
      </c>
      <c r="K41" s="25"/>
    </row>
    <row r="42" spans="1:11" ht="22.5" customHeight="1" x14ac:dyDescent="0.25">
      <c r="A42" s="21" t="s">
        <v>47</v>
      </c>
      <c r="B42" s="10">
        <v>8</v>
      </c>
      <c r="C42" s="21" t="s">
        <v>131</v>
      </c>
      <c r="D42" s="9" t="s">
        <v>82</v>
      </c>
      <c r="E42" s="11">
        <f>3+(3+0+0)+0</f>
        <v>6</v>
      </c>
      <c r="F42" s="11">
        <v>2</v>
      </c>
      <c r="G42" s="11">
        <f>1+3</f>
        <v>4</v>
      </c>
      <c r="H42" s="11">
        <v>0</v>
      </c>
      <c r="I42" s="11">
        <f>1+1+8+2</f>
        <v>12</v>
      </c>
      <c r="J42" s="24">
        <f t="shared" si="1"/>
        <v>24</v>
      </c>
      <c r="K42" s="25"/>
    </row>
    <row r="43" spans="1:11" ht="22.5" customHeight="1" x14ac:dyDescent="0.25">
      <c r="A43" s="21" t="s">
        <v>18</v>
      </c>
      <c r="B43" s="10">
        <v>8</v>
      </c>
      <c r="C43" s="21" t="s">
        <v>87</v>
      </c>
      <c r="D43" s="9" t="s">
        <v>88</v>
      </c>
      <c r="E43" s="13">
        <f>3+(3+0+0)+1</f>
        <v>7</v>
      </c>
      <c r="F43" s="13">
        <v>6</v>
      </c>
      <c r="G43" s="13">
        <v>0</v>
      </c>
      <c r="H43" s="13">
        <f>5+0+0</f>
        <v>5</v>
      </c>
      <c r="I43" s="13">
        <f>1+1+3</f>
        <v>5</v>
      </c>
      <c r="J43" s="24">
        <f t="shared" si="1"/>
        <v>23</v>
      </c>
      <c r="K43" s="25"/>
    </row>
    <row r="44" spans="1:11" ht="22.5" customHeight="1" x14ac:dyDescent="0.25">
      <c r="A44" s="21" t="s">
        <v>19</v>
      </c>
      <c r="B44" s="10">
        <v>8</v>
      </c>
      <c r="C44" s="21" t="s">
        <v>79</v>
      </c>
      <c r="D44" s="9" t="s">
        <v>80</v>
      </c>
      <c r="E44" s="11">
        <f>3+(4)+1</f>
        <v>8</v>
      </c>
      <c r="F44" s="11">
        <v>6</v>
      </c>
      <c r="G44" s="11">
        <v>0</v>
      </c>
      <c r="H44" s="11">
        <v>0</v>
      </c>
      <c r="I44" s="11">
        <f>1+1+5+1+0</f>
        <v>8</v>
      </c>
      <c r="J44" s="24">
        <f t="shared" si="1"/>
        <v>22</v>
      </c>
      <c r="K44" s="25"/>
    </row>
    <row r="45" spans="1:11" ht="22.5" customHeight="1" x14ac:dyDescent="0.25">
      <c r="A45" s="21" t="s">
        <v>65</v>
      </c>
      <c r="B45" s="10">
        <v>8</v>
      </c>
      <c r="C45" s="21" t="s">
        <v>142</v>
      </c>
      <c r="D45" s="9" t="s">
        <v>76</v>
      </c>
      <c r="E45" s="11">
        <f>3+(3+1+1)+2</f>
        <v>10</v>
      </c>
      <c r="F45" s="11">
        <v>4</v>
      </c>
      <c r="G45" s="11">
        <f>2+3+0</f>
        <v>5</v>
      </c>
      <c r="H45" s="11">
        <v>0</v>
      </c>
      <c r="I45" s="11">
        <f>1+1+1</f>
        <v>3</v>
      </c>
      <c r="J45" s="24">
        <f t="shared" si="1"/>
        <v>22</v>
      </c>
      <c r="K45" s="25"/>
    </row>
    <row r="46" spans="1:11" ht="32.5" customHeight="1" x14ac:dyDescent="0.25">
      <c r="A46" s="21" t="s">
        <v>20</v>
      </c>
      <c r="B46" s="10">
        <v>8</v>
      </c>
      <c r="C46" s="21" t="s">
        <v>77</v>
      </c>
      <c r="D46" s="9" t="s">
        <v>78</v>
      </c>
      <c r="E46" s="11">
        <f>3+(3+1+0.5)+1</f>
        <v>8.5</v>
      </c>
      <c r="F46" s="11">
        <v>6</v>
      </c>
      <c r="G46" s="11">
        <f>2+3+0</f>
        <v>5</v>
      </c>
      <c r="H46" s="11">
        <v>0</v>
      </c>
      <c r="I46" s="11">
        <f>1+1</f>
        <v>2</v>
      </c>
      <c r="J46" s="24">
        <f t="shared" si="1"/>
        <v>21.5</v>
      </c>
      <c r="K46" s="25"/>
    </row>
    <row r="47" spans="1:11" ht="34" customHeight="1" x14ac:dyDescent="0.25">
      <c r="A47" s="21" t="s">
        <v>64</v>
      </c>
      <c r="B47" s="10">
        <v>8</v>
      </c>
      <c r="C47" s="21" t="s">
        <v>97</v>
      </c>
      <c r="D47" s="9" t="s">
        <v>98</v>
      </c>
      <c r="E47" s="11">
        <f>3+(2+0+0)+0</f>
        <v>5</v>
      </c>
      <c r="F47" s="11">
        <v>6</v>
      </c>
      <c r="G47" s="11">
        <v>0</v>
      </c>
      <c r="H47" s="11">
        <f>0+0.5+0</f>
        <v>0.5</v>
      </c>
      <c r="I47" s="11">
        <f>1+1+6+1.5+0.5</f>
        <v>10</v>
      </c>
      <c r="J47" s="24">
        <f t="shared" si="1"/>
        <v>21.5</v>
      </c>
      <c r="K47" s="25"/>
    </row>
    <row r="48" spans="1:11" ht="22.5" customHeight="1" x14ac:dyDescent="0.25">
      <c r="A48" s="21" t="s">
        <v>21</v>
      </c>
      <c r="B48" s="10">
        <v>8</v>
      </c>
      <c r="C48" s="21" t="s">
        <v>103</v>
      </c>
      <c r="D48" s="9" t="s">
        <v>82</v>
      </c>
      <c r="E48" s="11">
        <f>3+(0+0+0)+1</f>
        <v>4</v>
      </c>
      <c r="F48" s="11">
        <v>2</v>
      </c>
      <c r="G48" s="11">
        <f>0+3+0</f>
        <v>3</v>
      </c>
      <c r="H48" s="11">
        <f>2.5+2+3</f>
        <v>7.5</v>
      </c>
      <c r="I48" s="11">
        <f>1+1+0+1+1</f>
        <v>4</v>
      </c>
      <c r="J48" s="24">
        <f t="shared" si="1"/>
        <v>20.5</v>
      </c>
      <c r="K48" s="25"/>
    </row>
    <row r="49" spans="1:11" ht="22.5" customHeight="1" x14ac:dyDescent="0.25">
      <c r="A49" s="21" t="s">
        <v>48</v>
      </c>
      <c r="B49" s="10">
        <v>8</v>
      </c>
      <c r="C49" s="21" t="s">
        <v>132</v>
      </c>
      <c r="D49" s="9" t="s">
        <v>133</v>
      </c>
      <c r="E49" s="11">
        <f>3+(2.5+0+0)+0</f>
        <v>5.5</v>
      </c>
      <c r="F49" s="11">
        <v>3</v>
      </c>
      <c r="G49" s="11">
        <f>1+3+0</f>
        <v>4</v>
      </c>
      <c r="H49" s="11">
        <f>1.5+1+0.5</f>
        <v>3</v>
      </c>
      <c r="I49" s="11">
        <f>0.5+0.5+1+2+1</f>
        <v>5</v>
      </c>
      <c r="J49" s="24">
        <f t="shared" si="1"/>
        <v>20.5</v>
      </c>
      <c r="K49" s="25"/>
    </row>
    <row r="50" spans="1:11" ht="22.5" customHeight="1" x14ac:dyDescent="0.25">
      <c r="A50" s="23" t="s">
        <v>63</v>
      </c>
      <c r="B50" s="10">
        <v>8</v>
      </c>
      <c r="C50" s="21" t="s">
        <v>83</v>
      </c>
      <c r="D50" s="9" t="s">
        <v>84</v>
      </c>
      <c r="E50" s="11">
        <f>3+(2+0+0)+1</f>
        <v>6</v>
      </c>
      <c r="F50" s="11">
        <v>0</v>
      </c>
      <c r="G50" s="11">
        <f>2+3+0</f>
        <v>5</v>
      </c>
      <c r="H50" s="11">
        <f>0.5+0+0</f>
        <v>0.5</v>
      </c>
      <c r="I50" s="11">
        <f>1+1+6</f>
        <v>8</v>
      </c>
      <c r="J50" s="24">
        <f t="shared" si="1"/>
        <v>19.5</v>
      </c>
      <c r="K50" s="25"/>
    </row>
    <row r="51" spans="1:11" ht="22.5" customHeight="1" x14ac:dyDescent="0.25">
      <c r="A51" s="21" t="s">
        <v>32</v>
      </c>
      <c r="B51" s="10">
        <v>8</v>
      </c>
      <c r="C51" s="21" t="s">
        <v>113</v>
      </c>
      <c r="D51" s="9" t="s">
        <v>82</v>
      </c>
      <c r="E51" s="11">
        <f>3+(4)+1</f>
        <v>8</v>
      </c>
      <c r="F51" s="11">
        <v>1</v>
      </c>
      <c r="G51" s="11">
        <f>1+3+3</f>
        <v>7</v>
      </c>
      <c r="H51" s="11">
        <v>0</v>
      </c>
      <c r="I51" s="11">
        <f>1+1+0+1</f>
        <v>3</v>
      </c>
      <c r="J51" s="24">
        <f t="shared" si="1"/>
        <v>19</v>
      </c>
      <c r="K51" s="25"/>
    </row>
    <row r="52" spans="1:11" ht="22.5" customHeight="1" x14ac:dyDescent="0.25">
      <c r="A52" s="21" t="s">
        <v>49</v>
      </c>
      <c r="B52" s="10">
        <v>8</v>
      </c>
      <c r="C52" s="21" t="s">
        <v>126</v>
      </c>
      <c r="D52" s="9" t="s">
        <v>90</v>
      </c>
      <c r="E52" s="11">
        <f>3+(1+0+0)+1</f>
        <v>5</v>
      </c>
      <c r="F52" s="11">
        <v>2</v>
      </c>
      <c r="G52" s="11">
        <f>1+3+0</f>
        <v>4</v>
      </c>
      <c r="H52" s="11">
        <f>3+2+3</f>
        <v>8</v>
      </c>
      <c r="I52" s="11">
        <v>0</v>
      </c>
      <c r="J52" s="24">
        <f t="shared" si="1"/>
        <v>19</v>
      </c>
      <c r="K52" s="25"/>
    </row>
    <row r="53" spans="1:11" ht="22.5" customHeight="1" x14ac:dyDescent="0.25">
      <c r="A53" s="22" t="s">
        <v>62</v>
      </c>
      <c r="B53" s="11">
        <v>8</v>
      </c>
      <c r="C53" s="22" t="s">
        <v>151</v>
      </c>
      <c r="D53" s="20" t="s">
        <v>92</v>
      </c>
      <c r="E53" s="11">
        <f>3+(3+0+0)+1</f>
        <v>7</v>
      </c>
      <c r="F53" s="11">
        <v>0</v>
      </c>
      <c r="G53" s="11">
        <f>1+4+0</f>
        <v>5</v>
      </c>
      <c r="H53" s="11">
        <f>2+2+3</f>
        <v>7</v>
      </c>
      <c r="I53" s="11">
        <v>0</v>
      </c>
      <c r="J53" s="24">
        <f t="shared" si="1"/>
        <v>19</v>
      </c>
      <c r="K53" s="25"/>
    </row>
    <row r="54" spans="1:11" ht="33" customHeight="1" x14ac:dyDescent="0.25">
      <c r="A54" s="21" t="s">
        <v>61</v>
      </c>
      <c r="B54" s="10">
        <v>8</v>
      </c>
      <c r="C54" s="21" t="s">
        <v>146</v>
      </c>
      <c r="D54" s="9" t="s">
        <v>76</v>
      </c>
      <c r="E54" s="11">
        <f>3+(3+0+0)+1</f>
        <v>7</v>
      </c>
      <c r="F54" s="11">
        <v>10</v>
      </c>
      <c r="G54" s="11">
        <v>0</v>
      </c>
      <c r="H54" s="11">
        <v>0</v>
      </c>
      <c r="I54" s="11">
        <f>1+1</f>
        <v>2</v>
      </c>
      <c r="J54" s="24">
        <f t="shared" si="1"/>
        <v>19</v>
      </c>
      <c r="K54" s="25"/>
    </row>
    <row r="55" spans="1:11" ht="32.5" customHeight="1" x14ac:dyDescent="0.25">
      <c r="A55" s="21" t="s">
        <v>50</v>
      </c>
      <c r="B55" s="10">
        <v>8</v>
      </c>
      <c r="C55" s="21" t="s">
        <v>122</v>
      </c>
      <c r="D55" s="9" t="s">
        <v>123</v>
      </c>
      <c r="E55" s="11">
        <f>0+(0+0+1)+1</f>
        <v>2</v>
      </c>
      <c r="F55" s="11">
        <v>1</v>
      </c>
      <c r="G55" s="11">
        <f>1+3</f>
        <v>4</v>
      </c>
      <c r="H55" s="18">
        <f>1.5+1.5+3</f>
        <v>6</v>
      </c>
      <c r="I55" s="11">
        <f>1+1+0+2+1</f>
        <v>5</v>
      </c>
      <c r="J55" s="24">
        <f t="shared" si="1"/>
        <v>18</v>
      </c>
      <c r="K55" s="25"/>
    </row>
    <row r="56" spans="1:11" ht="33" customHeight="1" x14ac:dyDescent="0.25">
      <c r="A56" s="21" t="s">
        <v>22</v>
      </c>
      <c r="B56" s="10">
        <v>8</v>
      </c>
      <c r="C56" s="21" t="s">
        <v>94</v>
      </c>
      <c r="D56" s="9" t="s">
        <v>95</v>
      </c>
      <c r="E56" s="11">
        <f>3+(1+0+0)+0</f>
        <v>4</v>
      </c>
      <c r="F56" s="11">
        <v>2</v>
      </c>
      <c r="G56" s="11">
        <f>1+1+0</f>
        <v>2</v>
      </c>
      <c r="H56" s="11">
        <v>0</v>
      </c>
      <c r="I56" s="11">
        <f>1+1+3+1+1</f>
        <v>7</v>
      </c>
      <c r="J56" s="24">
        <f t="shared" si="1"/>
        <v>15</v>
      </c>
      <c r="K56" s="25"/>
    </row>
    <row r="57" spans="1:11" ht="35" customHeight="1" x14ac:dyDescent="0.25">
      <c r="A57" s="21" t="s">
        <v>31</v>
      </c>
      <c r="B57" s="10">
        <v>8</v>
      </c>
      <c r="C57" s="21" t="s">
        <v>79</v>
      </c>
      <c r="D57" s="9" t="s">
        <v>80</v>
      </c>
      <c r="E57" s="11">
        <f>3+(0+0+0)+0</f>
        <v>3</v>
      </c>
      <c r="F57" s="11">
        <v>2</v>
      </c>
      <c r="G57" s="11">
        <f>1+2</f>
        <v>3</v>
      </c>
      <c r="H57" s="11">
        <f>1+0+0</f>
        <v>1</v>
      </c>
      <c r="I57" s="11">
        <f>1+1+1+2+1</f>
        <v>6</v>
      </c>
      <c r="J57" s="24">
        <f t="shared" si="1"/>
        <v>15</v>
      </c>
      <c r="K57" s="25"/>
    </row>
    <row r="58" spans="1:11" ht="36" customHeight="1" x14ac:dyDescent="0.25">
      <c r="A58" s="21" t="s">
        <v>51</v>
      </c>
      <c r="B58" s="10">
        <v>8</v>
      </c>
      <c r="C58" s="21" t="s">
        <v>125</v>
      </c>
      <c r="D58" s="9" t="s">
        <v>88</v>
      </c>
      <c r="E58" s="11">
        <f>3+(3+0+0)+1</f>
        <v>7</v>
      </c>
      <c r="F58" s="11">
        <v>5</v>
      </c>
      <c r="G58" s="11">
        <v>0</v>
      </c>
      <c r="H58" s="11">
        <v>0</v>
      </c>
      <c r="I58" s="11">
        <f>1+1+0+1+0</f>
        <v>3</v>
      </c>
      <c r="J58" s="24">
        <f t="shared" si="1"/>
        <v>15</v>
      </c>
      <c r="K58" s="25"/>
    </row>
    <row r="59" spans="1:11" ht="36" customHeight="1" x14ac:dyDescent="0.25">
      <c r="A59" s="21" t="s">
        <v>60</v>
      </c>
      <c r="B59" s="10">
        <v>8</v>
      </c>
      <c r="C59" s="21" t="s">
        <v>79</v>
      </c>
      <c r="D59" s="9" t="s">
        <v>80</v>
      </c>
      <c r="E59" s="11">
        <f>3+(3+0+0)+0.5</f>
        <v>6.5</v>
      </c>
      <c r="F59" s="11">
        <v>4</v>
      </c>
      <c r="G59" s="11">
        <f>1+0+0</f>
        <v>1</v>
      </c>
      <c r="H59" s="18">
        <f>0+1+0</f>
        <v>1</v>
      </c>
      <c r="I59" s="11">
        <f>1+1</f>
        <v>2</v>
      </c>
      <c r="J59" s="24">
        <f t="shared" si="1"/>
        <v>14.5</v>
      </c>
      <c r="K59" s="25"/>
    </row>
    <row r="60" spans="1:11" ht="35.5" customHeight="1" x14ac:dyDescent="0.25">
      <c r="A60" s="21" t="s">
        <v>25</v>
      </c>
      <c r="B60" s="10">
        <v>8</v>
      </c>
      <c r="C60" s="21" t="s">
        <v>97</v>
      </c>
      <c r="D60" s="9" t="s">
        <v>98</v>
      </c>
      <c r="E60" s="11">
        <f>3+(1+0+0)+1</f>
        <v>5</v>
      </c>
      <c r="F60" s="11">
        <v>7</v>
      </c>
      <c r="G60" s="11">
        <v>0</v>
      </c>
      <c r="H60" s="11">
        <v>0</v>
      </c>
      <c r="I60" s="11">
        <f>1+1</f>
        <v>2</v>
      </c>
      <c r="J60" s="24">
        <f t="shared" si="1"/>
        <v>14</v>
      </c>
      <c r="K60" s="25"/>
    </row>
    <row r="61" spans="1:11" ht="22.5" customHeight="1" x14ac:dyDescent="0.25">
      <c r="A61" s="21" t="s">
        <v>52</v>
      </c>
      <c r="B61" s="10">
        <v>8</v>
      </c>
      <c r="C61" s="21" t="s">
        <v>128</v>
      </c>
      <c r="D61" s="9" t="s">
        <v>123</v>
      </c>
      <c r="E61" s="11">
        <f>3+(3+0+0)+0.5</f>
        <v>6.5</v>
      </c>
      <c r="F61" s="11">
        <v>1</v>
      </c>
      <c r="G61" s="11">
        <f>2+0+0</f>
        <v>2</v>
      </c>
      <c r="H61" s="11">
        <v>0</v>
      </c>
      <c r="I61" s="11">
        <f>1+0.5+2+1+0</f>
        <v>4.5</v>
      </c>
      <c r="J61" s="24">
        <f t="shared" si="1"/>
        <v>14</v>
      </c>
      <c r="K61" s="25"/>
    </row>
    <row r="62" spans="1:11" ht="37" customHeight="1" x14ac:dyDescent="0.25">
      <c r="A62" s="21" t="s">
        <v>53</v>
      </c>
      <c r="B62" s="10">
        <v>8</v>
      </c>
      <c r="C62" s="21" t="s">
        <v>79</v>
      </c>
      <c r="D62" s="9" t="s">
        <v>80</v>
      </c>
      <c r="E62" s="11">
        <f>3+(0+0+0)+0</f>
        <v>3</v>
      </c>
      <c r="F62" s="11">
        <v>6</v>
      </c>
      <c r="G62" s="11">
        <v>1</v>
      </c>
      <c r="H62" s="18">
        <f>0+2+0</f>
        <v>2</v>
      </c>
      <c r="I62" s="11">
        <f>1+1</f>
        <v>2</v>
      </c>
      <c r="J62" s="24">
        <f t="shared" si="1"/>
        <v>14</v>
      </c>
      <c r="K62" s="25"/>
    </row>
    <row r="63" spans="1:11" ht="22.5" customHeight="1" x14ac:dyDescent="0.25">
      <c r="A63" s="21" t="s">
        <v>23</v>
      </c>
      <c r="B63" s="10">
        <v>8</v>
      </c>
      <c r="C63" s="21" t="s">
        <v>91</v>
      </c>
      <c r="D63" s="9" t="s">
        <v>92</v>
      </c>
      <c r="E63" s="11">
        <f>3+(0+0+0)+0</f>
        <v>3</v>
      </c>
      <c r="F63" s="11">
        <v>5</v>
      </c>
      <c r="G63" s="11">
        <f>1+3+0</f>
        <v>4</v>
      </c>
      <c r="H63" s="11">
        <v>0</v>
      </c>
      <c r="I63" s="11">
        <v>0</v>
      </c>
      <c r="J63" s="24">
        <f t="shared" si="1"/>
        <v>12</v>
      </c>
      <c r="K63" s="25"/>
    </row>
    <row r="64" spans="1:11" ht="31.5" customHeight="1" x14ac:dyDescent="0.25">
      <c r="A64" s="21" t="s">
        <v>54</v>
      </c>
      <c r="B64" s="10">
        <v>8</v>
      </c>
      <c r="C64" s="21" t="s">
        <v>136</v>
      </c>
      <c r="D64" s="9" t="s">
        <v>78</v>
      </c>
      <c r="E64" s="11">
        <f>3+(1+0+0)+1</f>
        <v>5</v>
      </c>
      <c r="F64" s="11">
        <v>3</v>
      </c>
      <c r="G64" s="11">
        <f>0+2+1</f>
        <v>3</v>
      </c>
      <c r="H64" s="11">
        <v>0</v>
      </c>
      <c r="I64" s="11">
        <v>1</v>
      </c>
      <c r="J64" s="24">
        <f t="shared" si="1"/>
        <v>12</v>
      </c>
      <c r="K64" s="25"/>
    </row>
    <row r="65" spans="1:11" ht="35" customHeight="1" x14ac:dyDescent="0.25">
      <c r="A65" s="21" t="s">
        <v>59</v>
      </c>
      <c r="B65" s="10">
        <v>8</v>
      </c>
      <c r="C65" s="21" t="s">
        <v>140</v>
      </c>
      <c r="D65" s="9" t="s">
        <v>141</v>
      </c>
      <c r="E65" s="11">
        <f>3+(1+0+0)+0</f>
        <v>4</v>
      </c>
      <c r="F65" s="11">
        <v>2</v>
      </c>
      <c r="G65" s="11">
        <f>2+3</f>
        <v>5</v>
      </c>
      <c r="H65" s="11">
        <v>0</v>
      </c>
      <c r="I65" s="11">
        <v>0</v>
      </c>
      <c r="J65" s="24">
        <f t="shared" si="1"/>
        <v>11</v>
      </c>
      <c r="K65" s="25"/>
    </row>
    <row r="66" spans="1:11" ht="22.5" customHeight="1" x14ac:dyDescent="0.25">
      <c r="A66" s="21" t="s">
        <v>30</v>
      </c>
      <c r="B66" s="10">
        <v>8</v>
      </c>
      <c r="C66" s="21" t="s">
        <v>120</v>
      </c>
      <c r="D66" s="9" t="s">
        <v>76</v>
      </c>
      <c r="E66" s="11">
        <f>0+(0+0+0)+0</f>
        <v>0</v>
      </c>
      <c r="F66" s="11">
        <v>2</v>
      </c>
      <c r="G66" s="11">
        <v>1</v>
      </c>
      <c r="H66" s="18">
        <f>0.5+0+0</f>
        <v>0.5</v>
      </c>
      <c r="I66" s="11">
        <f>1+1+2+2+1</f>
        <v>7</v>
      </c>
      <c r="J66" s="24">
        <f t="shared" si="1"/>
        <v>10.5</v>
      </c>
      <c r="K66" s="25"/>
    </row>
    <row r="67" spans="1:11" ht="37.5" customHeight="1" x14ac:dyDescent="0.25">
      <c r="A67" s="21" t="s">
        <v>24</v>
      </c>
      <c r="B67" s="10">
        <v>8</v>
      </c>
      <c r="C67" s="21" t="s">
        <v>79</v>
      </c>
      <c r="D67" s="9" t="s">
        <v>80</v>
      </c>
      <c r="E67" s="11">
        <f>0+(0+0+0.5)+1</f>
        <v>1.5</v>
      </c>
      <c r="F67" s="11">
        <v>4</v>
      </c>
      <c r="G67" s="11">
        <f>1+3</f>
        <v>4</v>
      </c>
      <c r="H67" s="11">
        <v>0</v>
      </c>
      <c r="I67" s="11">
        <v>0</v>
      </c>
      <c r="J67" s="24">
        <f t="shared" si="1"/>
        <v>9.5</v>
      </c>
      <c r="K67" s="25"/>
    </row>
    <row r="68" spans="1:11" ht="22.5" customHeight="1" x14ac:dyDescent="0.25">
      <c r="A68" s="21" t="s">
        <v>26</v>
      </c>
      <c r="B68" s="10">
        <v>8</v>
      </c>
      <c r="C68" s="21" t="s">
        <v>86</v>
      </c>
      <c r="D68" s="9" t="s">
        <v>76</v>
      </c>
      <c r="E68" s="11">
        <f>3+(0+0+0)+0</f>
        <v>3</v>
      </c>
      <c r="F68" s="11">
        <v>2</v>
      </c>
      <c r="G68" s="11">
        <f>1+3+0</f>
        <v>4</v>
      </c>
      <c r="H68" s="11">
        <v>0</v>
      </c>
      <c r="I68" s="11">
        <v>0</v>
      </c>
      <c r="J68" s="24">
        <f t="shared" si="1"/>
        <v>9</v>
      </c>
      <c r="K68" s="25"/>
    </row>
    <row r="69" spans="1:11" ht="22.5" customHeight="1" x14ac:dyDescent="0.25">
      <c r="A69" s="21" t="s">
        <v>57</v>
      </c>
      <c r="B69" s="10">
        <v>8</v>
      </c>
      <c r="C69" s="21" t="s">
        <v>121</v>
      </c>
      <c r="D69" s="9" t="s">
        <v>98</v>
      </c>
      <c r="E69" s="11">
        <f>3+(1+0+0)+0</f>
        <v>4</v>
      </c>
      <c r="F69" s="11">
        <v>2</v>
      </c>
      <c r="G69" s="11">
        <v>0</v>
      </c>
      <c r="H69" s="11">
        <f>0+0+0</f>
        <v>0</v>
      </c>
      <c r="I69" s="11">
        <f>1+1+1</f>
        <v>3</v>
      </c>
      <c r="J69" s="24">
        <f t="shared" si="1"/>
        <v>9</v>
      </c>
      <c r="K69" s="25"/>
    </row>
    <row r="70" spans="1:11" ht="22.5" customHeight="1" x14ac:dyDescent="0.25">
      <c r="A70" s="21" t="s">
        <v>58</v>
      </c>
      <c r="B70" s="10">
        <v>8</v>
      </c>
      <c r="C70" s="21" t="s">
        <v>145</v>
      </c>
      <c r="D70" s="9" t="s">
        <v>116</v>
      </c>
      <c r="E70" s="11">
        <f>3+(0+0)+0</f>
        <v>3</v>
      </c>
      <c r="F70" s="11">
        <v>4</v>
      </c>
      <c r="G70" s="11">
        <v>0</v>
      </c>
      <c r="H70" s="11">
        <v>0</v>
      </c>
      <c r="I70" s="11">
        <f>1+1+0</f>
        <v>2</v>
      </c>
      <c r="J70" s="24">
        <f t="shared" si="1"/>
        <v>9</v>
      </c>
      <c r="K70" s="25"/>
    </row>
    <row r="71" spans="1:11" ht="22.5" customHeight="1" x14ac:dyDescent="0.25">
      <c r="A71" s="21" t="s">
        <v>27</v>
      </c>
      <c r="B71" s="10">
        <v>8</v>
      </c>
      <c r="C71" s="21" t="s">
        <v>96</v>
      </c>
      <c r="D71" s="9" t="s">
        <v>82</v>
      </c>
      <c r="E71" s="11">
        <f>0+(0+0+0)+0</f>
        <v>0</v>
      </c>
      <c r="F71" s="11">
        <v>4</v>
      </c>
      <c r="G71" s="11">
        <v>0</v>
      </c>
      <c r="H71" s="11">
        <v>0</v>
      </c>
      <c r="I71" s="11">
        <f>1+1+2+0</f>
        <v>4</v>
      </c>
      <c r="J71" s="24">
        <f t="shared" si="1"/>
        <v>8</v>
      </c>
      <c r="K71" s="25"/>
    </row>
    <row r="72" spans="1:11" ht="37.5" customHeight="1" x14ac:dyDescent="0.25">
      <c r="A72" s="21" t="s">
        <v>55</v>
      </c>
      <c r="B72" s="10">
        <v>8</v>
      </c>
      <c r="C72" s="21" t="s">
        <v>79</v>
      </c>
      <c r="D72" s="9" t="s">
        <v>80</v>
      </c>
      <c r="E72" s="11">
        <v>0</v>
      </c>
      <c r="F72" s="11">
        <v>0</v>
      </c>
      <c r="G72" s="11">
        <v>0</v>
      </c>
      <c r="H72" s="11">
        <v>0</v>
      </c>
      <c r="I72" s="11">
        <f>1+1+5+1+0</f>
        <v>8</v>
      </c>
      <c r="J72" s="24">
        <f t="shared" si="1"/>
        <v>8</v>
      </c>
      <c r="K72" s="25"/>
    </row>
    <row r="73" spans="1:11" ht="38.5" customHeight="1" x14ac:dyDescent="0.25">
      <c r="A73" s="22" t="s">
        <v>28</v>
      </c>
      <c r="B73" s="11">
        <v>8</v>
      </c>
      <c r="C73" s="22" t="s">
        <v>102</v>
      </c>
      <c r="D73" s="20" t="s">
        <v>92</v>
      </c>
      <c r="E73" s="11">
        <f>3+(0+0+0)+0</f>
        <v>3</v>
      </c>
      <c r="F73" s="11">
        <v>2</v>
      </c>
      <c r="G73" s="11">
        <f>0+2+0</f>
        <v>2</v>
      </c>
      <c r="H73" s="11">
        <v>0</v>
      </c>
      <c r="I73" s="11">
        <v>0</v>
      </c>
      <c r="J73" s="24">
        <f t="shared" si="1"/>
        <v>7</v>
      </c>
      <c r="K73" s="25"/>
    </row>
    <row r="74" spans="1:11" ht="32" customHeight="1" x14ac:dyDescent="0.25">
      <c r="A74" s="21" t="s">
        <v>29</v>
      </c>
      <c r="B74" s="10">
        <v>8</v>
      </c>
      <c r="C74" s="21" t="s">
        <v>117</v>
      </c>
      <c r="D74" s="9" t="s">
        <v>118</v>
      </c>
      <c r="E74" s="11">
        <f>0+(0+0+0)+0</f>
        <v>0</v>
      </c>
      <c r="F74" s="11">
        <v>1</v>
      </c>
      <c r="G74" s="11">
        <v>0</v>
      </c>
      <c r="H74" s="11">
        <v>0</v>
      </c>
      <c r="I74" s="11">
        <f>1+1</f>
        <v>2</v>
      </c>
      <c r="J74" s="24">
        <f t="shared" si="1"/>
        <v>3</v>
      </c>
      <c r="K74" s="25"/>
    </row>
    <row r="75" spans="1:11" ht="36" customHeight="1" x14ac:dyDescent="0.25">
      <c r="A75" s="22" t="s">
        <v>56</v>
      </c>
      <c r="B75" s="11">
        <v>8</v>
      </c>
      <c r="C75" s="22" t="s">
        <v>134</v>
      </c>
      <c r="D75" s="12" t="s">
        <v>88</v>
      </c>
      <c r="E75" s="11">
        <f>0</f>
        <v>0</v>
      </c>
      <c r="F75" s="11">
        <v>0</v>
      </c>
      <c r="G75" s="11">
        <v>0</v>
      </c>
      <c r="H75" s="11">
        <v>0</v>
      </c>
      <c r="I75" s="11">
        <v>0</v>
      </c>
      <c r="J75" s="24">
        <f t="shared" si="1"/>
        <v>0</v>
      </c>
      <c r="K75" s="25"/>
    </row>
    <row r="76" spans="1:11" ht="22.5" customHeight="1" x14ac:dyDescent="0.25">
      <c r="A76" s="1"/>
      <c r="B76" s="1"/>
      <c r="C76" s="1"/>
      <c r="D76" s="1"/>
      <c r="E76" s="1"/>
      <c r="F76" s="4"/>
      <c r="G76" s="4"/>
      <c r="H76" s="1"/>
      <c r="I76" s="1"/>
      <c r="J76" s="2"/>
      <c r="K76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2026-01-22T22:47:19Z</dcterms:created>
  <dcterms:modified xsi:type="dcterms:W3CDTF">2026-01-27T11:05:15Z</dcterms:modified>
</cp:coreProperties>
</file>