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5-2026\ОЛІМПІАДИ\ІІ етап\ФІЗИКА\остаточні\"/>
    </mc:Choice>
  </mc:AlternateContent>
  <bookViews>
    <workbookView xWindow="0" yWindow="0" windowWidth="19200" windowHeight="6930"/>
  </bookViews>
  <sheets>
    <sheet name="Ответы на форму (1)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6" i="1" l="1"/>
  <c r="H36" i="1"/>
  <c r="G36" i="1"/>
  <c r="F36" i="1"/>
  <c r="E36" i="1"/>
  <c r="I12" i="1"/>
  <c r="H12" i="1"/>
  <c r="G12" i="1"/>
  <c r="F12" i="1"/>
  <c r="E12" i="1"/>
  <c r="I7" i="1"/>
  <c r="H7" i="1"/>
  <c r="G7" i="1"/>
  <c r="F7" i="1"/>
  <c r="I17" i="1"/>
  <c r="H17" i="1"/>
  <c r="G17" i="1"/>
  <c r="F17" i="1"/>
  <c r="E17" i="1"/>
  <c r="J17" i="1" s="1"/>
  <c r="I35" i="1"/>
  <c r="H35" i="1"/>
  <c r="G35" i="1"/>
  <c r="F35" i="1"/>
  <c r="E35" i="1"/>
  <c r="H59" i="1"/>
  <c r="G59" i="1"/>
  <c r="F59" i="1"/>
  <c r="E59" i="1"/>
  <c r="I25" i="1"/>
  <c r="H25" i="1"/>
  <c r="G25" i="1"/>
  <c r="F25" i="1"/>
  <c r="E25" i="1"/>
  <c r="I31" i="1"/>
  <c r="H31" i="1"/>
  <c r="G31" i="1"/>
  <c r="F31" i="1"/>
  <c r="E31" i="1"/>
  <c r="I40" i="1"/>
  <c r="H40" i="1"/>
  <c r="G40" i="1"/>
  <c r="F40" i="1"/>
  <c r="E40" i="1"/>
  <c r="I63" i="1"/>
  <c r="H63" i="1"/>
  <c r="G63" i="1"/>
  <c r="F63" i="1"/>
  <c r="J63" i="1" s="1"/>
  <c r="I49" i="1"/>
  <c r="H49" i="1"/>
  <c r="G49" i="1"/>
  <c r="F49" i="1"/>
  <c r="E49" i="1"/>
  <c r="I13" i="1"/>
  <c r="H13" i="1"/>
  <c r="G13" i="1"/>
  <c r="F13" i="1"/>
  <c r="E13" i="1"/>
  <c r="I38" i="1"/>
  <c r="H38" i="1"/>
  <c r="G38" i="1"/>
  <c r="F38" i="1"/>
  <c r="E38" i="1"/>
  <c r="I41" i="1"/>
  <c r="H41" i="1"/>
  <c r="G41" i="1"/>
  <c r="F41" i="1"/>
  <c r="E41" i="1"/>
  <c r="J41" i="1" s="1"/>
  <c r="I56" i="1"/>
  <c r="H56" i="1"/>
  <c r="G56" i="1"/>
  <c r="F56" i="1"/>
  <c r="E56" i="1"/>
  <c r="I24" i="1"/>
  <c r="H24" i="1"/>
  <c r="G24" i="1"/>
  <c r="F24" i="1"/>
  <c r="E24" i="1"/>
  <c r="I22" i="1"/>
  <c r="H22" i="1"/>
  <c r="G22" i="1"/>
  <c r="F22" i="1"/>
  <c r="E22" i="1"/>
  <c r="H60" i="1"/>
  <c r="G60" i="1"/>
  <c r="F60" i="1"/>
  <c r="E60" i="1"/>
  <c r="I58" i="1"/>
  <c r="H58" i="1"/>
  <c r="G58" i="1"/>
  <c r="F58" i="1"/>
  <c r="I45" i="1"/>
  <c r="H45" i="1"/>
  <c r="G45" i="1"/>
  <c r="F45" i="1"/>
  <c r="E45" i="1"/>
  <c r="J45" i="1" s="1"/>
  <c r="I48" i="1"/>
  <c r="H48" i="1"/>
  <c r="G48" i="1"/>
  <c r="F48" i="1"/>
  <c r="E48" i="1"/>
  <c r="I29" i="1"/>
  <c r="H29" i="1"/>
  <c r="G29" i="1"/>
  <c r="F29" i="1"/>
  <c r="E29" i="1"/>
  <c r="I16" i="1"/>
  <c r="H16" i="1"/>
  <c r="G16" i="1"/>
  <c r="F16" i="1"/>
  <c r="E16" i="1"/>
  <c r="I19" i="1"/>
  <c r="H19" i="1"/>
  <c r="G19" i="1"/>
  <c r="F19" i="1"/>
  <c r="E19" i="1"/>
  <c r="J19" i="1" s="1"/>
  <c r="I54" i="1"/>
  <c r="H54" i="1"/>
  <c r="G54" i="1"/>
  <c r="F54" i="1"/>
  <c r="E54" i="1"/>
  <c r="H52" i="1"/>
  <c r="G52" i="1"/>
  <c r="F52" i="1"/>
  <c r="E52" i="1"/>
  <c r="I3" i="1"/>
  <c r="H3" i="1"/>
  <c r="G3" i="1"/>
  <c r="F3" i="1"/>
  <c r="I21" i="1"/>
  <c r="H21" i="1"/>
  <c r="G21" i="1"/>
  <c r="F21" i="1"/>
  <c r="E21" i="1"/>
  <c r="I42" i="1"/>
  <c r="H42" i="1"/>
  <c r="G42" i="1"/>
  <c r="F42" i="1"/>
  <c r="E42" i="1"/>
  <c r="H55" i="1"/>
  <c r="G55" i="1"/>
  <c r="F55" i="1"/>
  <c r="E55" i="1"/>
  <c r="I39" i="1"/>
  <c r="H39" i="1"/>
  <c r="G39" i="1"/>
  <c r="F39" i="1"/>
  <c r="E39" i="1"/>
  <c r="I44" i="1"/>
  <c r="H44" i="1"/>
  <c r="G44" i="1"/>
  <c r="F44" i="1"/>
  <c r="J44" i="1" s="1"/>
  <c r="E44" i="1"/>
  <c r="I47" i="1"/>
  <c r="H47" i="1"/>
  <c r="G47" i="1"/>
  <c r="F47" i="1"/>
  <c r="E47" i="1"/>
  <c r="H5" i="1"/>
  <c r="G5" i="1"/>
  <c r="F5" i="1"/>
  <c r="E5" i="1"/>
  <c r="I20" i="1"/>
  <c r="H20" i="1"/>
  <c r="G20" i="1"/>
  <c r="F20" i="1"/>
  <c r="E20" i="1"/>
  <c r="I43" i="1"/>
  <c r="H43" i="1"/>
  <c r="G43" i="1"/>
  <c r="F43" i="1"/>
  <c r="J43" i="1" s="1"/>
  <c r="E43" i="1"/>
  <c r="I28" i="1"/>
  <c r="H28" i="1"/>
  <c r="G28" i="1"/>
  <c r="F28" i="1"/>
  <c r="E28" i="1"/>
  <c r="I46" i="1"/>
  <c r="H46" i="1"/>
  <c r="G46" i="1"/>
  <c r="F46" i="1"/>
  <c r="E46" i="1"/>
  <c r="I30" i="1"/>
  <c r="H30" i="1"/>
  <c r="G30" i="1"/>
  <c r="F30" i="1"/>
  <c r="E30" i="1"/>
  <c r="I33" i="1"/>
  <c r="H33" i="1"/>
  <c r="G33" i="1"/>
  <c r="F33" i="1"/>
  <c r="E33" i="1"/>
  <c r="I57" i="1"/>
  <c r="H57" i="1"/>
  <c r="G57" i="1"/>
  <c r="F57" i="1"/>
  <c r="E57" i="1"/>
  <c r="I10" i="1"/>
  <c r="H10" i="1"/>
  <c r="G10" i="1"/>
  <c r="F10" i="1"/>
  <c r="E10" i="1"/>
  <c r="I53" i="1"/>
  <c r="H53" i="1"/>
  <c r="G53" i="1"/>
  <c r="F53" i="1"/>
  <c r="E53" i="1"/>
  <c r="I51" i="1"/>
  <c r="H51" i="1"/>
  <c r="G51" i="1"/>
  <c r="F51" i="1"/>
  <c r="E51" i="1"/>
  <c r="I61" i="1"/>
  <c r="H61" i="1"/>
  <c r="G61" i="1"/>
  <c r="F61" i="1"/>
  <c r="E61" i="1"/>
  <c r="I4" i="1"/>
  <c r="G4" i="1"/>
  <c r="F4" i="1"/>
  <c r="E4" i="1"/>
  <c r="I32" i="1"/>
  <c r="H32" i="1"/>
  <c r="G32" i="1"/>
  <c r="F32" i="1"/>
  <c r="E32" i="1"/>
  <c r="I50" i="1"/>
  <c r="H50" i="1"/>
  <c r="G50" i="1"/>
  <c r="F50" i="1"/>
  <c r="E50" i="1"/>
  <c r="H64" i="1"/>
  <c r="G64" i="1"/>
  <c r="F64" i="1"/>
  <c r="E64" i="1"/>
  <c r="H6" i="1"/>
  <c r="G6" i="1"/>
  <c r="F6" i="1"/>
  <c r="E6" i="1"/>
  <c r="I15" i="1"/>
  <c r="H15" i="1"/>
  <c r="G15" i="1"/>
  <c r="F15" i="1"/>
  <c r="E15" i="1"/>
  <c r="I9" i="1"/>
  <c r="H9" i="1"/>
  <c r="G9" i="1"/>
  <c r="F9" i="1"/>
  <c r="E9" i="1"/>
  <c r="I37" i="1"/>
  <c r="H37" i="1"/>
  <c r="G37" i="1"/>
  <c r="F37" i="1"/>
  <c r="E37" i="1"/>
  <c r="I34" i="1"/>
  <c r="H34" i="1"/>
  <c r="G34" i="1"/>
  <c r="F34" i="1"/>
  <c r="E34" i="1"/>
  <c r="I11" i="1"/>
  <c r="H11" i="1"/>
  <c r="G11" i="1"/>
  <c r="F11" i="1"/>
  <c r="E11" i="1"/>
  <c r="I8" i="1"/>
  <c r="H8" i="1"/>
  <c r="G8" i="1"/>
  <c r="F8" i="1"/>
  <c r="E8" i="1"/>
  <c r="I14" i="1"/>
  <c r="H14" i="1"/>
  <c r="G14" i="1"/>
  <c r="F14" i="1"/>
  <c r="E14" i="1"/>
  <c r="I18" i="1"/>
  <c r="H18" i="1"/>
  <c r="G18" i="1"/>
  <c r="F18" i="1"/>
  <c r="E18" i="1"/>
  <c r="I62" i="1"/>
  <c r="H62" i="1"/>
  <c r="G62" i="1"/>
  <c r="F62" i="1"/>
  <c r="E62" i="1"/>
  <c r="I27" i="1"/>
  <c r="H27" i="1"/>
  <c r="G27" i="1"/>
  <c r="F27" i="1"/>
  <c r="E27" i="1"/>
  <c r="I26" i="1"/>
  <c r="H26" i="1"/>
  <c r="G26" i="1"/>
  <c r="F26" i="1"/>
  <c r="E26" i="1"/>
  <c r="I23" i="1"/>
  <c r="H23" i="1"/>
  <c r="G23" i="1"/>
  <c r="F23" i="1"/>
  <c r="E23" i="1"/>
  <c r="J15" i="1" l="1"/>
  <c r="J32" i="1"/>
  <c r="J53" i="1"/>
  <c r="J30" i="1"/>
  <c r="J46" i="1"/>
  <c r="J62" i="1"/>
  <c r="J11" i="1"/>
  <c r="J18" i="1"/>
  <c r="J34" i="1"/>
  <c r="J4" i="1"/>
  <c r="J10" i="1"/>
  <c r="J20" i="1"/>
  <c r="J55" i="1"/>
  <c r="J42" i="1"/>
  <c r="J16" i="1"/>
  <c r="J58" i="1"/>
  <c r="J60" i="1"/>
  <c r="J22" i="1"/>
  <c r="J38" i="1"/>
  <c r="J40" i="1"/>
  <c r="J7" i="1"/>
  <c r="J23" i="1"/>
  <c r="J26" i="1"/>
  <c r="J14" i="1"/>
  <c r="J37" i="1"/>
  <c r="J64" i="1"/>
  <c r="J61" i="1"/>
  <c r="J57" i="1"/>
  <c r="J21" i="1"/>
  <c r="J29" i="1"/>
  <c r="J24" i="1"/>
  <c r="J13" i="1"/>
  <c r="J31" i="1"/>
  <c r="J12" i="1"/>
  <c r="J27" i="1"/>
  <c r="J8" i="1"/>
  <c r="J9" i="1"/>
  <c r="J50" i="1"/>
  <c r="J51" i="1"/>
  <c r="J33" i="1"/>
  <c r="J28" i="1"/>
  <c r="J47" i="1"/>
  <c r="J39" i="1"/>
  <c r="J3" i="1"/>
  <c r="J52" i="1"/>
  <c r="J54" i="1"/>
  <c r="J48" i="1"/>
  <c r="J56" i="1"/>
  <c r="J49" i="1"/>
  <c r="J25" i="1"/>
  <c r="J59" i="1"/>
  <c r="J35" i="1"/>
  <c r="J36" i="1"/>
</calcChain>
</file>

<file path=xl/sharedStrings.xml><?xml version="1.0" encoding="utf-8"?>
<sst xmlns="http://schemas.openxmlformats.org/spreadsheetml/2006/main" count="230" uniqueCount="139">
  <si>
    <t>Сума</t>
  </si>
  <si>
    <t>Артеменко Євген Дмитрович</t>
  </si>
  <si>
    <t>Вінокурова Варвара Дмитрівна</t>
  </si>
  <si>
    <t>Вовк Олексій Сергійович</t>
  </si>
  <si>
    <t>Ворожейкін Дмитро В'ячеславович</t>
  </si>
  <si>
    <t>Воронцова Злата Антонівна</t>
  </si>
  <si>
    <t>Головань Артем Віталійович</t>
  </si>
  <si>
    <t>Головко Анастасія Олександрівна</t>
  </si>
  <si>
    <t>Добровольська-Рахніна Божена Андріївна</t>
  </si>
  <si>
    <t>Іванов Платон Дмитрович</t>
  </si>
  <si>
    <t>Ільченко Карина Володимирівна</t>
  </si>
  <si>
    <t>Катихіна Поліна Станіславівна</t>
  </si>
  <si>
    <t>Асадча Марія Сергіївна</t>
  </si>
  <si>
    <t>Катречко Владислава Артемівна</t>
  </si>
  <si>
    <t>Кір'янов Філіп Євгенович</t>
  </si>
  <si>
    <t>Коблик Кирил Євгенович</t>
  </si>
  <si>
    <t>Кондрашкін Вадим Юрійович</t>
  </si>
  <si>
    <t>Конохов Лєв Сергійович</t>
  </si>
  <si>
    <t>Корсун Ксенія Олегівна</t>
  </si>
  <si>
    <t>Косенко Єгор Олегович</t>
  </si>
  <si>
    <t>Кузнецов Федір Олександрович</t>
  </si>
  <si>
    <t>Куц Поліна Сергіївна</t>
  </si>
  <si>
    <t>Ладоненко Михайло Олександрович</t>
  </si>
  <si>
    <t>Лайко Вікторія Максимівна</t>
  </si>
  <si>
    <t>Левинсон Софія Андріївна</t>
  </si>
  <si>
    <t>Лисицька Анастасія Олексіївна</t>
  </si>
  <si>
    <t>Локтєва Софія Олексіївна</t>
  </si>
  <si>
    <t>Ляшенко Богдан Максимович</t>
  </si>
  <si>
    <t>Магера Ростислав Сергійович</t>
  </si>
  <si>
    <t>Михайленко Поліна Михайлівна</t>
  </si>
  <si>
    <t>Мільшина Анастасія Дмитріївна</t>
  </si>
  <si>
    <t>Моргунов Дмитро Андрійович</t>
  </si>
  <si>
    <t>Мужичук Вікторія Олександрівна</t>
  </si>
  <si>
    <t>Білик Олександр Олександрович</t>
  </si>
  <si>
    <t>Назарько Ірина Сергіївна</t>
  </si>
  <si>
    <t>Ніколаєва Марія Дмитрівна</t>
  </si>
  <si>
    <t>Омельченко Олексій Вадимович</t>
  </si>
  <si>
    <t>Пархоменко Віра Сергіївна</t>
  </si>
  <si>
    <t>Пономаренко Тимофій Дмитрович</t>
  </si>
  <si>
    <t>Проскурова Анастасія Андріївна</t>
  </si>
  <si>
    <t>Рябоштан Маргарита Сергіївна</t>
  </si>
  <si>
    <t>Самойлов Дмитро Костянтинович</t>
  </si>
  <si>
    <t>Сичик Владислава Олександрівна</t>
  </si>
  <si>
    <t>Сліновенко Матвій Владиславович</t>
  </si>
  <si>
    <t>Бояр Артем Володимирович</t>
  </si>
  <si>
    <t>Старусєва Валентина Олексіївна</t>
  </si>
  <si>
    <t>Сухотерін Максим Євгенович</t>
  </si>
  <si>
    <t>Токар Катерина Сергіївна</t>
  </si>
  <si>
    <t>Торубара Альбіна Олександрівна</t>
  </si>
  <si>
    <t>Тюпа Діана Сергіївна</t>
  </si>
  <si>
    <t>Усата Дар'я Ігорівна</t>
  </si>
  <si>
    <t>Ходжаніязова Анастасія Олександрівна</t>
  </si>
  <si>
    <t>Чайковський Ян Тарасович</t>
  </si>
  <si>
    <t>Чепурний Іван Павлович</t>
  </si>
  <si>
    <t>Шабалін Олексій Вячеславович</t>
  </si>
  <si>
    <t>Бродоцька Софія Михайлівна</t>
  </si>
  <si>
    <t>Шигимага Дар'я Валеріївна</t>
  </si>
  <si>
    <t>Шпак Юлія Володимирівна</t>
  </si>
  <si>
    <t>Юрченко Софія Віталіївна</t>
  </si>
  <si>
    <t>Буханцова Діана Олександрівна</t>
  </si>
  <si>
    <t>Вербицький Павло Сергійович</t>
  </si>
  <si>
    <t>Виходцев Ренат Євгенійович</t>
  </si>
  <si>
    <t>ПІП</t>
  </si>
  <si>
    <t>Клас</t>
  </si>
  <si>
    <t>Заклад освіти</t>
  </si>
  <si>
    <t>Локація</t>
  </si>
  <si>
    <t>експеримент</t>
  </si>
  <si>
    <t>Задача 4</t>
  </si>
  <si>
    <t>Задача 3</t>
  </si>
  <si>
    <t>Задача 2</t>
  </si>
  <si>
    <t>Задача 1</t>
  </si>
  <si>
    <t>Комунальний заклад «Харківський ліцей № 55 Харківської міської ради»</t>
  </si>
  <si>
    <t>Київський район</t>
  </si>
  <si>
    <t xml:space="preserve">Бежинар Лауріта Русланівна </t>
  </si>
  <si>
    <t>Балаклійський ліцей № 1 ім. О.А. Тризни Балаклійської міської ради Харківської області</t>
  </si>
  <si>
    <t>Ізюмська опорна локація</t>
  </si>
  <si>
    <t>Комунальний заклад «Харківський ліцей № 169 Харківської міської ради»</t>
  </si>
  <si>
    <t>Шевченківський район</t>
  </si>
  <si>
    <t>Комунальний заклад «Харківський ліцей № 119 Харківської міської ради»</t>
  </si>
  <si>
    <t>Індустріальний район</t>
  </si>
  <si>
    <t>Комунальний заклад «Харківський ліцей № 56 Харківської міської ради»</t>
  </si>
  <si>
    <t>Салтівський район</t>
  </si>
  <si>
    <t>Комунальний заклад «Зміївський ліцей № 1» Зміївської міської ради Чугуївського району Харківської області</t>
  </si>
  <si>
    <t>Чугуївська опорна локація</t>
  </si>
  <si>
    <t>Комунальний заклад «Харківський фізико-математичний науковий ліцей № 27 Харківської міської ради»</t>
  </si>
  <si>
    <t>Новобаварський район</t>
  </si>
  <si>
    <t>Комунальний заклад «Харківський ліцей № 172 Харківської міської ради»</t>
  </si>
  <si>
    <t>Комунальний заклад «Харківський ліцей № 3 Харківської міської ради»</t>
  </si>
  <si>
    <t>Комунальний заклад «Харківський ліцей № 4 Харківської міської ради»</t>
  </si>
  <si>
    <t>Комунальний заклад «Харківський ліцей № 149 Харківської міської ради»</t>
  </si>
  <si>
    <t>Комунальний заклад «Слобожанський ліцей № 2» Слобожанської міської ради Чугуївського району Харківської області</t>
  </si>
  <si>
    <t>Комунальний заклад «Харківська гімназія № 136 Харківської міської ради»</t>
  </si>
  <si>
    <t>Холодногірський район</t>
  </si>
  <si>
    <t>Комунальний заклад «Харківський ліцей № 22 Харківської міської ради»</t>
  </si>
  <si>
    <t>Комунальний заклад «Харківський ліцей № 141 Харківської міської ради»</t>
  </si>
  <si>
    <t>Комунальний заклад «Харківський ліцей № 82 Харківської міської ради»</t>
  </si>
  <si>
    <t>Слобідський район</t>
  </si>
  <si>
    <t>Комунальний заклад «Елітнянський ліцей Вільхівської сільської ради Харківського району Харківської області»</t>
  </si>
  <si>
    <t>Харківська опорна локація</t>
  </si>
  <si>
    <t>Комунальний заклад «Харківський ліцей № 161 «Імпульс» Харківської міської ради»</t>
  </si>
  <si>
    <t>Немишлянський район</t>
  </si>
  <si>
    <t>Комунального закладу «Харківський науковий ліцей "Обдарованість"» Харківської обласної ради</t>
  </si>
  <si>
    <t>Обдарованість</t>
  </si>
  <si>
    <t>Ізюмський ліцей №3 Ізюмської міської ради</t>
  </si>
  <si>
    <t>Комунальний заклад «Харківський ліцей № 47 Харківської міської ради»</t>
  </si>
  <si>
    <t>Комунальний заклад «Харківський ліцей № 151 Харківської міської ради»</t>
  </si>
  <si>
    <t>Комунальний заклад «Харківський ліцей № 75 Харківської міської ради»</t>
  </si>
  <si>
    <t>Комунальний заклад «Новопокровський опорний ліцей» Новопокровської селищної ради Чугуївського району Харківської області</t>
  </si>
  <si>
    <t>Комунальний заклад «Харківський ліцей № 6 Харківської міської ради»</t>
  </si>
  <si>
    <t>Філія «Харківський приватний ліцей «Народна українська академія» Харківської області» приватного закладу вищої освіти Харківського гуманітарного університету «Народна українська академія»</t>
  </si>
  <si>
    <t>Комунальний заклад «Харківський ліцей № 15 Харківської міської ради»</t>
  </si>
  <si>
    <t>Комунальний заклад «Харківський ліцей № 105 Харківської міської ради»</t>
  </si>
  <si>
    <t>Комунальний заклад «Введенський ліцей» Новопокровської селищної ради Чугуївського району Харківської області</t>
  </si>
  <si>
    <t>Пришибський ліцей Донецької селищної ради Ізюмського району Харківської області</t>
  </si>
  <si>
    <t>Комунальний заклад «Харківський ліцей № 36 Харківської міської ради»</t>
  </si>
  <si>
    <t>Комунальний заклад «Харківський академічний ліцей № 45 Харківської міської ради»</t>
  </si>
  <si>
    <t>Комунальний заклад «Харківський ліцей № 89 Харківської міської ради»</t>
  </si>
  <si>
    <t>Комунальний заклад «Харківський ліцей № 152 Харківської міської ради»</t>
  </si>
  <si>
    <t>Комунальний заклад «Харківський ліцей № 128 Харківської міської ради»</t>
  </si>
  <si>
    <t>Комунальний заклад «Харківський ліцей № 150 Харківської міської ради»</t>
  </si>
  <si>
    <t>Комунальний заклад «Харківський ліцей № 173 Харківської міської ради»</t>
  </si>
  <si>
    <t>Комунальний заклад «Харківський ліцей №53 Харківської міської ради»</t>
  </si>
  <si>
    <t>Основ'янський район</t>
  </si>
  <si>
    <t>Куп'янська опорна локація</t>
  </si>
  <si>
    <t>Петрівський ліцей Наталинської ради Берестинського району Харківської області</t>
  </si>
  <si>
    <t>Берестинська опорна локація</t>
  </si>
  <si>
    <t>Комунальний заклад «Золочівський ліцей №2» Золочівської селищної ради</t>
  </si>
  <si>
    <t>Богодухівська опорна локація</t>
  </si>
  <si>
    <t>Комунальний заклад «Огіївський ліцей» Сахновщинської селищної ради</t>
  </si>
  <si>
    <t>Кегичівська опорна локація</t>
  </si>
  <si>
    <t>9 клас</t>
  </si>
  <si>
    <r>
      <t>max 55</t>
    </r>
    <r>
      <rPr>
        <b/>
        <u/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балів</t>
    </r>
  </si>
  <si>
    <t>І</t>
  </si>
  <si>
    <t>ІІ</t>
  </si>
  <si>
    <t>ІІІ</t>
  </si>
  <si>
    <t>Остаточні результати ІІ (обласного) етапу 
Всеукраїнської учнівської олімпіади з ФІЗИКИ</t>
  </si>
  <si>
    <t>місце</t>
  </si>
  <si>
    <t>Коробчинський ліцей Пролісненської селищної ради Чугуївського району Харківської області</t>
  </si>
  <si>
    <t>Комунальний заклад «Петропавлівський ліцей Петропавлівської сільської ради Куп’янського району Харківської області»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</si>
</sst>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rgb="FF434343"/>
      <name val="Roboto"/>
    </font>
    <font>
      <sz val="10"/>
      <color rgb="FFCC0000"/>
      <name val="Arial"/>
      <scheme val="minor"/>
    </font>
    <font>
      <u/>
      <sz val="10"/>
      <color rgb="FF434343"/>
      <name val="Arial"/>
      <scheme val="minor"/>
    </font>
    <font>
      <sz val="10"/>
      <color rgb="FF000000"/>
      <name val="Arial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0"/>
      <color theme="1"/>
      <name val="Arial"/>
      <family val="2"/>
      <charset val="204"/>
      <scheme val="minor"/>
    </font>
    <font>
      <sz val="10"/>
      <color rgb="FF434343"/>
      <name val="Arial"/>
      <family val="2"/>
      <charset val="204"/>
      <scheme val="minor"/>
    </font>
    <font>
      <sz val="10"/>
      <name val="Arial"/>
      <family val="2"/>
      <charset val="204"/>
      <scheme val="minor"/>
    </font>
    <font>
      <b/>
      <sz val="10"/>
      <color rgb="FF000000"/>
      <name val="Arial"/>
      <family val="2"/>
      <charset val="204"/>
      <scheme val="minor"/>
    </font>
    <font>
      <b/>
      <sz val="10"/>
      <name val="Arial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3" borderId="0" xfId="0" applyFont="1" applyFill="1" applyAlignment="1">
      <alignment horizontal="center" vertical="center"/>
    </xf>
    <xf numFmtId="0" fontId="6" fillId="0" borderId="0" xfId="0" applyFont="1" applyAlignment="1">
      <alignment horizontal="right"/>
    </xf>
    <xf numFmtId="0" fontId="8" fillId="3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5" fillId="3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16">
    <dxf>
      <alignment horizontal="center" vertical="center" textRotation="0" wrapText="0" indent="0" justifyLastLine="0" shrinkToFit="0" readingOrder="0"/>
      <border>
        <left style="thin">
          <color rgb="FF000000"/>
        </left>
        <right style="thin">
          <color rgb="FF000000"/>
        </right>
      </border>
    </dxf>
    <dxf>
      <alignment horizontal="center" vertical="center" textRotation="0" wrapText="0" indent="0" justifyLastLine="0" shrinkToFit="0" readingOrder="0"/>
      <border outline="0">
        <left style="thin">
          <color rgb="FF000000"/>
        </left>
      </border>
    </dxf>
    <dxf>
      <alignment horizontal="center" vertical="center" textRotation="0" wrapText="0" indent="0" justifyLastLine="0" shrinkToFit="0" readingOrder="0"/>
      <border outline="0">
        <left style="thin">
          <color rgb="FF000000"/>
        </left>
        <right style="thin">
          <color rgb="FF000000"/>
        </right>
      </border>
    </dxf>
    <dxf>
      <alignment horizontal="center" vertical="center" textRotation="0" wrapText="0" indent="0" justifyLastLine="0" shrinkToFit="0" readingOrder="0"/>
      <border outline="0">
        <left style="thin">
          <color rgb="FF000000"/>
        </left>
        <right style="thin">
          <color rgb="FF000000"/>
        </right>
      </border>
    </dxf>
    <dxf>
      <alignment horizontal="center" vertical="center" textRotation="0" wrapText="0" indent="0" justifyLastLine="0" shrinkToFit="0" readingOrder="0"/>
      <border outline="0">
        <left style="thin">
          <color rgb="FF000000"/>
        </left>
        <right style="thin">
          <color rgb="FF000000"/>
        </right>
      </border>
    </dxf>
    <dxf>
      <alignment horizontal="center" vertical="center" textRotation="0" wrapText="0" indent="0" justifyLastLine="0" shrinkToFit="0" readingOrder="0"/>
      <border outline="0">
        <left style="thin">
          <color rgb="FF000000"/>
        </left>
        <right style="thin">
          <color rgb="FF000000"/>
        </right>
      </border>
    </dxf>
    <dxf>
      <alignment horizontal="center" vertical="center" textRotation="0" wrapText="0" indent="0" justifyLastLine="0" shrinkToFit="0" readingOrder="0"/>
      <border outline="0">
        <left/>
        <right style="thin">
          <color rgb="FF000000"/>
        </right>
      </border>
    </dxf>
    <dxf>
      <alignment horizontal="left" vertical="center" textRotation="0" wrapText="0" indent="0" justifyLastLine="0" shrinkToFit="0" readingOrder="0"/>
      <border outline="0">
        <left/>
        <right style="thin">
          <color rgb="FF000000"/>
        </right>
      </border>
    </dxf>
    <dxf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ill>
        <patternFill patternType="solid">
          <fgColor indexed="64"/>
          <bgColor theme="2" tint="-0.1499984740745262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name="Ответы на форму (1)-style" pivot="0" count="4">
      <tableStyleElement type="wholeTable" size="0" dxfId="15"/>
      <tableStyleElement type="headerRow" dxfId="14"/>
      <tableStyleElement type="firstRowStripe" dxfId="13"/>
      <tableStyleElement type="secondRowStrip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id="1" name="Form_Responses" displayName="Form_Responses" ref="A1:K65" headerRowDxfId="11">
  <sortState ref="A2:K65">
    <sortCondition descending="1" ref="J3"/>
  </sortState>
  <tableColumns count="11">
    <tableColumn id="2" name="ПІП" dataDxfId="10"/>
    <tableColumn id="5" name="Клас" dataDxfId="9"/>
    <tableColumn id="6" name="Заклад освіти" dataDxfId="8"/>
    <tableColumn id="7" name="Локація" dataDxfId="7"/>
    <tableColumn id="9" name="Задача 1" dataDxfId="6"/>
    <tableColumn id="10" name="Задача 2" dataDxfId="5"/>
    <tableColumn id="11" name="Задача 3" dataDxfId="4"/>
    <tableColumn id="12" name="Задача 4" dataDxfId="3"/>
    <tableColumn id="13" name="експеримент" dataDxfId="2"/>
    <tableColumn id="14" name="Сума" dataDxfId="1"/>
    <tableColumn id="1" name="місце" dataDxfId="0"/>
  </tableColumns>
  <tableStyleInfo name="Ответы на форму (1)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65"/>
  <sheetViews>
    <sheetView tabSelected="1" workbookViewId="0">
      <pane ySplit="1" topLeftCell="A89" activePane="bottomLeft" state="frozen"/>
      <selection pane="bottomLeft" activeCell="C42" sqref="C42"/>
    </sheetView>
  </sheetViews>
  <sheetFormatPr defaultColWidth="12.54296875" defaultRowHeight="15.75" customHeight="1"/>
  <cols>
    <col min="1" max="1" width="23.36328125" customWidth="1"/>
    <col min="2" max="2" width="5.54296875" customWidth="1"/>
    <col min="3" max="3" width="32.1796875" customWidth="1"/>
    <col min="4" max="4" width="19" customWidth="1"/>
    <col min="5" max="5" width="13" customWidth="1"/>
    <col min="6" max="6" width="12.26953125" customWidth="1"/>
    <col min="7" max="7" width="12.54296875" customWidth="1"/>
    <col min="8" max="8" width="11.26953125" customWidth="1"/>
    <col min="9" max="9" width="13.453125" customWidth="1"/>
    <col min="10" max="10" width="6.90625" customWidth="1"/>
    <col min="11" max="11" width="7.453125" customWidth="1"/>
  </cols>
  <sheetData>
    <row r="1" spans="1:11" ht="22.5" customHeight="1">
      <c r="A1" s="1" t="s">
        <v>62</v>
      </c>
      <c r="B1" s="1" t="s">
        <v>63</v>
      </c>
      <c r="C1" s="1" t="s">
        <v>64</v>
      </c>
      <c r="D1" s="1" t="s">
        <v>65</v>
      </c>
      <c r="E1" s="1" t="s">
        <v>70</v>
      </c>
      <c r="F1" s="1" t="s">
        <v>69</v>
      </c>
      <c r="G1" s="1" t="s">
        <v>68</v>
      </c>
      <c r="H1" s="1" t="s">
        <v>67</v>
      </c>
      <c r="I1" s="1" t="s">
        <v>66</v>
      </c>
      <c r="J1" s="1" t="s">
        <v>0</v>
      </c>
      <c r="K1" s="20" t="s">
        <v>136</v>
      </c>
    </row>
    <row r="2" spans="1:11" ht="55.5" customHeight="1">
      <c r="A2" s="3" t="s">
        <v>130</v>
      </c>
      <c r="B2" s="1"/>
      <c r="C2" s="6" t="s">
        <v>135</v>
      </c>
      <c r="D2" s="3"/>
      <c r="E2" s="1"/>
      <c r="F2" s="1"/>
      <c r="G2" s="1"/>
      <c r="H2" s="1"/>
      <c r="I2" s="1"/>
      <c r="J2" s="2" t="s">
        <v>131</v>
      </c>
      <c r="K2" s="5"/>
    </row>
    <row r="3" spans="1:11" ht="39.5" customHeight="1">
      <c r="A3" s="16" t="s">
        <v>35</v>
      </c>
      <c r="B3" s="8">
        <v>9</v>
      </c>
      <c r="C3" s="17" t="s">
        <v>84</v>
      </c>
      <c r="D3" s="9" t="s">
        <v>85</v>
      </c>
      <c r="E3" s="4">
        <v>10</v>
      </c>
      <c r="F3" s="4">
        <f>1+1+1+2+2+1+2</f>
        <v>10</v>
      </c>
      <c r="G3" s="4">
        <f>3+3+4</f>
        <v>10</v>
      </c>
      <c r="H3" s="4">
        <f>1+1+1+1+1+2+3</f>
        <v>10</v>
      </c>
      <c r="I3" s="4">
        <f>4+5+1+1</f>
        <v>11</v>
      </c>
      <c r="J3" s="21">
        <f>E3+F3+G3+H3+I3</f>
        <v>51</v>
      </c>
      <c r="K3" s="22" t="s">
        <v>132</v>
      </c>
    </row>
    <row r="4" spans="1:11" ht="35" customHeight="1">
      <c r="A4" s="16" t="s">
        <v>17</v>
      </c>
      <c r="B4" s="8">
        <v>9</v>
      </c>
      <c r="C4" s="17" t="s">
        <v>99</v>
      </c>
      <c r="D4" s="9" t="s">
        <v>100</v>
      </c>
      <c r="E4" s="4">
        <f>2+1+2+2+1+1/2</f>
        <v>8.5</v>
      </c>
      <c r="F4" s="4">
        <f>1+1+1+2+2+2+1</f>
        <v>10</v>
      </c>
      <c r="G4" s="4">
        <f>3+3+4</f>
        <v>10</v>
      </c>
      <c r="H4" s="14">
        <v>5</v>
      </c>
      <c r="I4" s="4">
        <f>5+4+2+1</f>
        <v>12</v>
      </c>
      <c r="J4" s="23">
        <f>E4+F4+G4+H4+I4</f>
        <v>45.5</v>
      </c>
      <c r="K4" s="22" t="s">
        <v>132</v>
      </c>
    </row>
    <row r="5" spans="1:11" ht="32.5" customHeight="1">
      <c r="A5" s="16" t="s">
        <v>28</v>
      </c>
      <c r="B5" s="8">
        <v>9</v>
      </c>
      <c r="C5" s="17" t="s">
        <v>111</v>
      </c>
      <c r="D5" s="9" t="s">
        <v>77</v>
      </c>
      <c r="E5" s="4">
        <f>1+1/2+0+0+0+1+1-1/2</f>
        <v>3</v>
      </c>
      <c r="F5" s="4">
        <f>1+1+1+2+1+1+1</f>
        <v>8</v>
      </c>
      <c r="G5" s="4">
        <f>3+3+4</f>
        <v>10</v>
      </c>
      <c r="H5" s="4">
        <f>1+1+1+1+1+2+1</f>
        <v>8</v>
      </c>
      <c r="I5" s="14">
        <v>14</v>
      </c>
      <c r="J5" s="21">
        <v>43</v>
      </c>
      <c r="K5" s="22" t="s">
        <v>132</v>
      </c>
    </row>
    <row r="6" spans="1:11" ht="22.5" customHeight="1">
      <c r="A6" s="16" t="s">
        <v>13</v>
      </c>
      <c r="B6" s="8">
        <v>9</v>
      </c>
      <c r="C6" s="17" t="s">
        <v>84</v>
      </c>
      <c r="D6" s="9" t="s">
        <v>85</v>
      </c>
      <c r="E6" s="4">
        <f>2+1+2+2+1+1+1/2</f>
        <v>9.5</v>
      </c>
      <c r="F6" s="4">
        <f>1+1+1+2+2+2+1</f>
        <v>10</v>
      </c>
      <c r="G6" s="4">
        <f>3+1+2</f>
        <v>6</v>
      </c>
      <c r="H6" s="4">
        <f>1+1+1+1+1+2+3</f>
        <v>10</v>
      </c>
      <c r="I6" s="14">
        <v>7</v>
      </c>
      <c r="J6" s="23">
        <v>42.5</v>
      </c>
      <c r="K6" s="22" t="s">
        <v>132</v>
      </c>
    </row>
    <row r="7" spans="1:11" ht="48" customHeight="1">
      <c r="A7" s="16" t="s">
        <v>59</v>
      </c>
      <c r="B7" s="8">
        <v>9</v>
      </c>
      <c r="C7" s="17" t="s">
        <v>82</v>
      </c>
      <c r="D7" s="9" t="s">
        <v>83</v>
      </c>
      <c r="E7" s="4">
        <v>8.5</v>
      </c>
      <c r="F7" s="4">
        <f>1+1+1+2+2+2+1</f>
        <v>10</v>
      </c>
      <c r="G7" s="4">
        <f>3+0.5+2</f>
        <v>5.5</v>
      </c>
      <c r="H7" s="4">
        <f>1+1+1+1+1+2+3</f>
        <v>10</v>
      </c>
      <c r="I7" s="4">
        <f>3+4+1+0</f>
        <v>8</v>
      </c>
      <c r="J7" s="21">
        <f t="shared" ref="J7:J38" si="0">E7+F7+G7+H7+I7</f>
        <v>42</v>
      </c>
      <c r="K7" s="22" t="s">
        <v>133</v>
      </c>
    </row>
    <row r="8" spans="1:11" ht="33" customHeight="1">
      <c r="A8" s="16" t="s">
        <v>7</v>
      </c>
      <c r="B8" s="8">
        <v>9</v>
      </c>
      <c r="C8" s="17" t="s">
        <v>76</v>
      </c>
      <c r="D8" s="9" t="s">
        <v>77</v>
      </c>
      <c r="E8" s="4">
        <f>2+1+2+2+1+1+1</f>
        <v>10</v>
      </c>
      <c r="F8" s="4">
        <f>1+1+1+2+2+2+1</f>
        <v>10</v>
      </c>
      <c r="G8" s="4">
        <f>3+1+2</f>
        <v>6</v>
      </c>
      <c r="H8" s="4">
        <f>1+1+1+1+1+2+3</f>
        <v>10</v>
      </c>
      <c r="I8" s="4">
        <f>2+4+0+0</f>
        <v>6</v>
      </c>
      <c r="J8" s="21">
        <f t="shared" si="0"/>
        <v>42</v>
      </c>
      <c r="K8" s="22" t="s">
        <v>133</v>
      </c>
    </row>
    <row r="9" spans="1:11" ht="48.5" customHeight="1">
      <c r="A9" s="16" t="s">
        <v>11</v>
      </c>
      <c r="B9" s="8">
        <v>9</v>
      </c>
      <c r="C9" s="17" t="s">
        <v>82</v>
      </c>
      <c r="D9" s="9" t="s">
        <v>83</v>
      </c>
      <c r="E9" s="4">
        <f>1+1+2+1+1+1+0-1/2</f>
        <v>6.5</v>
      </c>
      <c r="F9" s="4">
        <f>1+0.5+1+2+1.5+2+0.5</f>
        <v>8.5</v>
      </c>
      <c r="G9" s="4">
        <f>3+3+2</f>
        <v>8</v>
      </c>
      <c r="H9" s="4">
        <f>1+1+0+0+1+2+3</f>
        <v>8</v>
      </c>
      <c r="I9" s="4">
        <f>5+5+1+0</f>
        <v>11</v>
      </c>
      <c r="J9" s="21">
        <f t="shared" si="0"/>
        <v>42</v>
      </c>
      <c r="K9" s="22" t="s">
        <v>133</v>
      </c>
    </row>
    <row r="10" spans="1:11" ht="34.5" customHeight="1">
      <c r="A10" s="16" t="s">
        <v>21</v>
      </c>
      <c r="B10" s="8">
        <v>9</v>
      </c>
      <c r="C10" s="17" t="s">
        <v>104</v>
      </c>
      <c r="D10" s="9" t="s">
        <v>77</v>
      </c>
      <c r="E10" s="4">
        <f>1+1+1+2+1+1+1</f>
        <v>8</v>
      </c>
      <c r="F10" s="4">
        <f>1+1+1+2+2+2+1</f>
        <v>10</v>
      </c>
      <c r="G10" s="4">
        <f>3+3+2</f>
        <v>8</v>
      </c>
      <c r="H10" s="4">
        <f>1+1+1+1+1+2+3</f>
        <v>10</v>
      </c>
      <c r="I10" s="4">
        <f>2+3+1+0</f>
        <v>6</v>
      </c>
      <c r="J10" s="21">
        <f t="shared" si="0"/>
        <v>42</v>
      </c>
      <c r="K10" s="22" t="s">
        <v>133</v>
      </c>
    </row>
    <row r="11" spans="1:11" ht="38" customHeight="1">
      <c r="A11" s="16" t="s">
        <v>8</v>
      </c>
      <c r="B11" s="8">
        <v>9</v>
      </c>
      <c r="C11" s="17" t="s">
        <v>84</v>
      </c>
      <c r="D11" s="10" t="s">
        <v>85</v>
      </c>
      <c r="E11" s="4">
        <f>1+1+2+2+1+1+1/2</f>
        <v>8.5</v>
      </c>
      <c r="F11" s="4">
        <f>1+0.5+1+2+2+2+1</f>
        <v>9.5</v>
      </c>
      <c r="G11" s="4">
        <f>3+3+4</f>
        <v>10</v>
      </c>
      <c r="H11" s="4">
        <f>1+1+1+1+1+0+0</f>
        <v>5</v>
      </c>
      <c r="I11" s="4">
        <f>2+4+1+1</f>
        <v>8</v>
      </c>
      <c r="J11" s="21">
        <f t="shared" si="0"/>
        <v>41</v>
      </c>
      <c r="K11" s="22" t="s">
        <v>133</v>
      </c>
    </row>
    <row r="12" spans="1:11" ht="39.5" customHeight="1">
      <c r="A12" s="16" t="s">
        <v>60</v>
      </c>
      <c r="B12" s="8">
        <v>9</v>
      </c>
      <c r="C12" s="17" t="s">
        <v>84</v>
      </c>
      <c r="D12" s="9" t="s">
        <v>85</v>
      </c>
      <c r="E12" s="4">
        <f>2+1+2+1+1+1+1</f>
        <v>9</v>
      </c>
      <c r="F12" s="4">
        <f>1+1+1+2+2+2+1</f>
        <v>10</v>
      </c>
      <c r="G12" s="4">
        <f>2+3+4</f>
        <v>9</v>
      </c>
      <c r="H12" s="4">
        <f>1+1+0+1+0+0+0</f>
        <v>3</v>
      </c>
      <c r="I12" s="4">
        <f>3+4+2+0</f>
        <v>9</v>
      </c>
      <c r="J12" s="21">
        <f t="shared" si="0"/>
        <v>40</v>
      </c>
      <c r="K12" s="22" t="s">
        <v>133</v>
      </c>
    </row>
    <row r="13" spans="1:11" ht="36.5" customHeight="1">
      <c r="A13" s="16" t="s">
        <v>50</v>
      </c>
      <c r="B13" s="8">
        <v>9</v>
      </c>
      <c r="C13" s="17" t="s">
        <v>126</v>
      </c>
      <c r="D13" s="9" t="s">
        <v>127</v>
      </c>
      <c r="E13" s="4">
        <f>1+1+1+2+1+1+1-1/2</f>
        <v>7.5</v>
      </c>
      <c r="F13" s="4">
        <f>1+1+1+2+2+1+2</f>
        <v>10</v>
      </c>
      <c r="G13" s="4">
        <f>3+0.5+2</f>
        <v>5.5</v>
      </c>
      <c r="H13" s="4">
        <f>1+1+1+1+1+2+3</f>
        <v>10</v>
      </c>
      <c r="I13" s="4">
        <f>3+2+1+1</f>
        <v>7</v>
      </c>
      <c r="J13" s="21">
        <f t="shared" si="0"/>
        <v>40</v>
      </c>
      <c r="K13" s="22" t="s">
        <v>133</v>
      </c>
    </row>
    <row r="14" spans="1:11" ht="34" customHeight="1">
      <c r="A14" s="16" t="s">
        <v>6</v>
      </c>
      <c r="B14" s="8">
        <v>9</v>
      </c>
      <c r="C14" s="17" t="s">
        <v>91</v>
      </c>
      <c r="D14" s="9" t="s">
        <v>92</v>
      </c>
      <c r="E14" s="4">
        <f>1+1+2+2+1+1+1</f>
        <v>9</v>
      </c>
      <c r="F14" s="4">
        <f>1+1+1+1+1+1.5+0.5</f>
        <v>7</v>
      </c>
      <c r="G14" s="4">
        <f>3+3+4</f>
        <v>10</v>
      </c>
      <c r="H14" s="4">
        <f>1+1+1+1+1+0+0</f>
        <v>5</v>
      </c>
      <c r="I14" s="4">
        <f>4+2+1+1</f>
        <v>8</v>
      </c>
      <c r="J14" s="21">
        <f t="shared" si="0"/>
        <v>39</v>
      </c>
      <c r="K14" s="22" t="s">
        <v>133</v>
      </c>
    </row>
    <row r="15" spans="1:11" ht="34.5" customHeight="1">
      <c r="A15" s="16" t="s">
        <v>12</v>
      </c>
      <c r="B15" s="8">
        <v>9</v>
      </c>
      <c r="C15" s="17" t="s">
        <v>76</v>
      </c>
      <c r="D15" s="9" t="s">
        <v>77</v>
      </c>
      <c r="E15" s="4">
        <f>1/2+1+0+1+1+1+1-1/2</f>
        <v>5</v>
      </c>
      <c r="F15" s="4">
        <f>1+1+1+1+1+2+1</f>
        <v>8</v>
      </c>
      <c r="G15" s="4">
        <f>2.5+2+2</f>
        <v>6.5</v>
      </c>
      <c r="H15" s="4">
        <f>1+1+1+1+1+2+3</f>
        <v>10</v>
      </c>
      <c r="I15" s="4">
        <f>3+2+1+1</f>
        <v>7</v>
      </c>
      <c r="J15" s="21">
        <f t="shared" si="0"/>
        <v>36.5</v>
      </c>
      <c r="K15" s="22" t="s">
        <v>134</v>
      </c>
    </row>
    <row r="16" spans="1:11" ht="32.5" customHeight="1">
      <c r="A16" s="16" t="s">
        <v>39</v>
      </c>
      <c r="B16" s="8">
        <v>9</v>
      </c>
      <c r="C16" s="17" t="s">
        <v>116</v>
      </c>
      <c r="D16" s="9" t="s">
        <v>77</v>
      </c>
      <c r="E16" s="4">
        <f>1+1+1+1+0+1+1-1/2</f>
        <v>5.5</v>
      </c>
      <c r="F16" s="4">
        <f>1+1+1+2+1.5+1+1.5</f>
        <v>9</v>
      </c>
      <c r="G16" s="4">
        <f>3+1+1</f>
        <v>5</v>
      </c>
      <c r="H16" s="4">
        <f>1+1+1+1+1+0+0</f>
        <v>5</v>
      </c>
      <c r="I16" s="4">
        <f>4+6+1+1</f>
        <v>12</v>
      </c>
      <c r="J16" s="21">
        <f t="shared" si="0"/>
        <v>36.5</v>
      </c>
      <c r="K16" s="22" t="s">
        <v>134</v>
      </c>
    </row>
    <row r="17" spans="1:11" ht="34" customHeight="1">
      <c r="A17" s="16" t="s">
        <v>58</v>
      </c>
      <c r="B17" s="8">
        <v>9</v>
      </c>
      <c r="C17" s="17" t="s">
        <v>116</v>
      </c>
      <c r="D17" s="9" t="s">
        <v>77</v>
      </c>
      <c r="E17" s="11">
        <f>1+1+2+1+1+1+1-1/2</f>
        <v>7.5</v>
      </c>
      <c r="F17" s="11">
        <f>1+1.5+1+0+0+1+1.5</f>
        <v>6</v>
      </c>
      <c r="G17" s="11">
        <f>3+1+1</f>
        <v>5</v>
      </c>
      <c r="H17" s="11">
        <f>1+1+1+1+1+2+3</f>
        <v>10</v>
      </c>
      <c r="I17" s="12">
        <f>5+1+1+1</f>
        <v>8</v>
      </c>
      <c r="J17" s="21">
        <f t="shared" si="0"/>
        <v>36.5</v>
      </c>
      <c r="K17" s="22" t="s">
        <v>134</v>
      </c>
    </row>
    <row r="18" spans="1:11" ht="43" customHeight="1">
      <c r="A18" s="16" t="s">
        <v>5</v>
      </c>
      <c r="B18" s="8">
        <v>9</v>
      </c>
      <c r="C18" s="17" t="s">
        <v>90</v>
      </c>
      <c r="D18" s="9" t="s">
        <v>83</v>
      </c>
      <c r="E18" s="4">
        <f>1+1/2+2+1+1/2+1+1-1/2</f>
        <v>6.5</v>
      </c>
      <c r="F18" s="4">
        <f>1+0.5+1+1+1+1+0.5</f>
        <v>6</v>
      </c>
      <c r="G18" s="4">
        <f>3+1+2</f>
        <v>6</v>
      </c>
      <c r="H18" s="4">
        <f>1+1+0+0+0.5+2+3</f>
        <v>7.5</v>
      </c>
      <c r="I18" s="4">
        <f>4+4+1+1</f>
        <v>10</v>
      </c>
      <c r="J18" s="21">
        <f t="shared" si="0"/>
        <v>36</v>
      </c>
      <c r="K18" s="22" t="s">
        <v>134</v>
      </c>
    </row>
    <row r="19" spans="1:11" ht="33.5" customHeight="1">
      <c r="A19" s="16" t="s">
        <v>38</v>
      </c>
      <c r="B19" s="8">
        <v>9</v>
      </c>
      <c r="C19" s="17" t="s">
        <v>84</v>
      </c>
      <c r="D19" s="9" t="s">
        <v>85</v>
      </c>
      <c r="E19" s="4">
        <f>2+1+2+1+1+0+1/2 -1/2</f>
        <v>7</v>
      </c>
      <c r="F19" s="4">
        <f>1+1+1+2+2+1+0.5</f>
        <v>8.5</v>
      </c>
      <c r="G19" s="4">
        <f>3+2+2</f>
        <v>7</v>
      </c>
      <c r="H19" s="4">
        <f>1+1+1+1+1+0+0</f>
        <v>5</v>
      </c>
      <c r="I19" s="4">
        <f>5+2+1+0</f>
        <v>8</v>
      </c>
      <c r="J19" s="21">
        <f t="shared" si="0"/>
        <v>35.5</v>
      </c>
      <c r="K19" s="22" t="s">
        <v>134</v>
      </c>
    </row>
    <row r="20" spans="1:11" ht="30.5" customHeight="1">
      <c r="A20" s="16" t="s">
        <v>27</v>
      </c>
      <c r="B20" s="8">
        <v>9</v>
      </c>
      <c r="C20" s="17" t="s">
        <v>110</v>
      </c>
      <c r="D20" s="9" t="s">
        <v>79</v>
      </c>
      <c r="E20" s="4">
        <f>0+1/2+0+1+0+1+1/2</f>
        <v>3</v>
      </c>
      <c r="F20" s="4">
        <f>1+1+1+2+1.5+1+1.5</f>
        <v>9</v>
      </c>
      <c r="G20" s="4">
        <f>3+0.5+2</f>
        <v>5.5</v>
      </c>
      <c r="H20" s="4">
        <f>1+1+0+0+1+2+0</f>
        <v>5</v>
      </c>
      <c r="I20" s="4">
        <f>4+6+1+1</f>
        <v>12</v>
      </c>
      <c r="J20" s="21">
        <f t="shared" si="0"/>
        <v>34.5</v>
      </c>
      <c r="K20" s="22" t="s">
        <v>134</v>
      </c>
    </row>
    <row r="21" spans="1:11" ht="32.5" customHeight="1">
      <c r="A21" s="16" t="s">
        <v>34</v>
      </c>
      <c r="B21" s="8">
        <v>9</v>
      </c>
      <c r="C21" s="17" t="s">
        <v>99</v>
      </c>
      <c r="D21" s="9" t="s">
        <v>100</v>
      </c>
      <c r="E21" s="4">
        <f>2+1+2+2+1+1+0</f>
        <v>9</v>
      </c>
      <c r="F21" s="4">
        <f>1+1+1+2+2+1+2</f>
        <v>10</v>
      </c>
      <c r="G21" s="4">
        <f>0+1+1</f>
        <v>2</v>
      </c>
      <c r="H21" s="4">
        <f>1+0.5+0+0+0+0+0</f>
        <v>1.5</v>
      </c>
      <c r="I21" s="4">
        <f>5+5+1+1</f>
        <v>12</v>
      </c>
      <c r="J21" s="21">
        <f t="shared" si="0"/>
        <v>34.5</v>
      </c>
      <c r="K21" s="22" t="s">
        <v>134</v>
      </c>
    </row>
    <row r="22" spans="1:11" ht="32.5" customHeight="1">
      <c r="A22" s="16" t="s">
        <v>45</v>
      </c>
      <c r="B22" s="8">
        <v>9</v>
      </c>
      <c r="C22" s="17" t="s">
        <v>119</v>
      </c>
      <c r="D22" s="9" t="s">
        <v>77</v>
      </c>
      <c r="E22" s="4">
        <f>0+1/2+1+1+1+1+1</f>
        <v>5.5</v>
      </c>
      <c r="F22" s="4">
        <f>1+0.5+1+2+1.5+1+1.5</f>
        <v>8.5</v>
      </c>
      <c r="G22" s="4">
        <f>3+0.5+2</f>
        <v>5.5</v>
      </c>
      <c r="H22" s="4">
        <f>1+1+0+0+1+2+3</f>
        <v>8</v>
      </c>
      <c r="I22" s="4">
        <f>4+1+1+1</f>
        <v>7</v>
      </c>
      <c r="J22" s="21">
        <f t="shared" si="0"/>
        <v>34.5</v>
      </c>
      <c r="K22" s="22" t="s">
        <v>134</v>
      </c>
    </row>
    <row r="23" spans="1:11" ht="36" customHeight="1">
      <c r="A23" s="16" t="s">
        <v>1</v>
      </c>
      <c r="B23" s="8">
        <v>9</v>
      </c>
      <c r="C23" s="17" t="s">
        <v>71</v>
      </c>
      <c r="D23" s="9" t="s">
        <v>72</v>
      </c>
      <c r="E23" s="4">
        <f>1+1+1+2+1+1+1-1/2</f>
        <v>7.5</v>
      </c>
      <c r="F23" s="4">
        <f>1+1+1+2+2+2+1</f>
        <v>10</v>
      </c>
      <c r="G23" s="4">
        <f>2+1+1.5</f>
        <v>4.5</v>
      </c>
      <c r="H23" s="4">
        <f>1+1+1+1+0.5+0+0</f>
        <v>4.5</v>
      </c>
      <c r="I23" s="4">
        <f>5+1+1+0</f>
        <v>7</v>
      </c>
      <c r="J23" s="21">
        <f t="shared" si="0"/>
        <v>33.5</v>
      </c>
      <c r="K23" s="22" t="s">
        <v>134</v>
      </c>
    </row>
    <row r="24" spans="1:11" ht="33" customHeight="1">
      <c r="A24" s="16" t="s">
        <v>46</v>
      </c>
      <c r="B24" s="8">
        <v>9</v>
      </c>
      <c r="C24" s="17" t="s">
        <v>120</v>
      </c>
      <c r="D24" s="9" t="s">
        <v>96</v>
      </c>
      <c r="E24" s="4">
        <f>0+1/2+1+1+0+1+1</f>
        <v>4.5</v>
      </c>
      <c r="F24" s="4">
        <f>1+1+1+2+2+1+1.5</f>
        <v>9.5</v>
      </c>
      <c r="G24" s="4">
        <f>3+0.5+2</f>
        <v>5.5</v>
      </c>
      <c r="H24" s="4">
        <f>1+1+0+0+0+0+0</f>
        <v>2</v>
      </c>
      <c r="I24" s="4">
        <f>4+6+1+1</f>
        <v>12</v>
      </c>
      <c r="J24" s="21">
        <f t="shared" si="0"/>
        <v>33.5</v>
      </c>
      <c r="K24" s="22" t="s">
        <v>134</v>
      </c>
    </row>
    <row r="25" spans="1:11" ht="30" customHeight="1">
      <c r="A25" s="16" t="s">
        <v>55</v>
      </c>
      <c r="B25" s="8">
        <v>9</v>
      </c>
      <c r="C25" s="18" t="s">
        <v>116</v>
      </c>
      <c r="D25" s="9" t="s">
        <v>77</v>
      </c>
      <c r="E25" s="4">
        <f>1+1+1+1+1+1+1-1/2</f>
        <v>6.5</v>
      </c>
      <c r="F25" s="4">
        <f>0</f>
        <v>0</v>
      </c>
      <c r="G25" s="4">
        <f>3+1+0</f>
        <v>4</v>
      </c>
      <c r="H25" s="4">
        <f>1+1+1+1+1+2+3</f>
        <v>10</v>
      </c>
      <c r="I25" s="4">
        <f>5+6+1+0</f>
        <v>12</v>
      </c>
      <c r="J25" s="21">
        <f t="shared" si="0"/>
        <v>32.5</v>
      </c>
      <c r="K25" s="22" t="s">
        <v>134</v>
      </c>
    </row>
    <row r="26" spans="1:11" ht="22.5" customHeight="1">
      <c r="A26" s="16" t="s">
        <v>2</v>
      </c>
      <c r="B26" s="8">
        <v>9</v>
      </c>
      <c r="C26" s="17" t="s">
        <v>87</v>
      </c>
      <c r="D26" s="9" t="s">
        <v>81</v>
      </c>
      <c r="E26" s="13">
        <f>0+0.5+1+1+0+1+0.5</f>
        <v>4</v>
      </c>
      <c r="F26" s="4">
        <f>1+1+1+2+2+1+0.5</f>
        <v>8.5</v>
      </c>
      <c r="G26" s="4">
        <f>3+1+2</f>
        <v>6</v>
      </c>
      <c r="H26" s="4">
        <f>1+1+0+0+0.5+0+0</f>
        <v>2.5</v>
      </c>
      <c r="I26" s="4">
        <f>4+4+2+1</f>
        <v>11</v>
      </c>
      <c r="J26" s="21">
        <f t="shared" si="0"/>
        <v>32</v>
      </c>
      <c r="K26" s="22" t="s">
        <v>134</v>
      </c>
    </row>
    <row r="27" spans="1:11" ht="22.5" customHeight="1">
      <c r="A27" s="16" t="s">
        <v>3</v>
      </c>
      <c r="B27" s="8">
        <v>9</v>
      </c>
      <c r="C27" s="17" t="s">
        <v>88</v>
      </c>
      <c r="D27" s="9" t="s">
        <v>72</v>
      </c>
      <c r="E27" s="4">
        <f>1+1+1+1+1+1+1/2-1/2</f>
        <v>6</v>
      </c>
      <c r="F27" s="4">
        <f>1+1+1+2+2+1.5+0.5</f>
        <v>9</v>
      </c>
      <c r="G27" s="4">
        <f>3+3+2</f>
        <v>8</v>
      </c>
      <c r="H27" s="4">
        <f>1+1+0+0+0+0+0</f>
        <v>2</v>
      </c>
      <c r="I27" s="4">
        <f>4+1+1+1</f>
        <v>7</v>
      </c>
      <c r="J27" s="21">
        <f t="shared" si="0"/>
        <v>32</v>
      </c>
      <c r="K27" s="22" t="s">
        <v>134</v>
      </c>
    </row>
    <row r="28" spans="1:11" ht="22.5" customHeight="1">
      <c r="A28" s="16" t="s">
        <v>25</v>
      </c>
      <c r="B28" s="8">
        <v>9</v>
      </c>
      <c r="C28" s="17" t="s">
        <v>108</v>
      </c>
      <c r="D28" s="9" t="s">
        <v>77</v>
      </c>
      <c r="E28" s="4">
        <f>1+1+1+1+1+0+0</f>
        <v>5</v>
      </c>
      <c r="F28" s="4">
        <f>1+1+1+2+1.5+1+2</f>
        <v>9.5</v>
      </c>
      <c r="G28" s="4">
        <f>3+0.5+2</f>
        <v>5.5</v>
      </c>
      <c r="H28" s="4">
        <f>1+1+0+0+0+0+0</f>
        <v>2</v>
      </c>
      <c r="I28" s="4">
        <f>5+4+1+0</f>
        <v>10</v>
      </c>
      <c r="J28" s="21">
        <f t="shared" si="0"/>
        <v>32</v>
      </c>
      <c r="K28" s="22" t="s">
        <v>134</v>
      </c>
    </row>
    <row r="29" spans="1:11" ht="33" customHeight="1">
      <c r="A29" s="16" t="s">
        <v>40</v>
      </c>
      <c r="B29" s="8">
        <v>9</v>
      </c>
      <c r="C29" s="17" t="s">
        <v>78</v>
      </c>
      <c r="D29" s="9" t="s">
        <v>79</v>
      </c>
      <c r="E29" s="4">
        <f>0+1/2 +1+0+1+1+0</f>
        <v>3.5</v>
      </c>
      <c r="F29" s="4">
        <f>1+1+1+2+2+1+2</f>
        <v>10</v>
      </c>
      <c r="G29" s="4">
        <f>2+0.5+2</f>
        <v>4.5</v>
      </c>
      <c r="H29" s="4">
        <f>1+1+0+1+1+2+0</f>
        <v>6</v>
      </c>
      <c r="I29" s="4">
        <f>2+4+1+1</f>
        <v>8</v>
      </c>
      <c r="J29" s="21">
        <f t="shared" si="0"/>
        <v>32</v>
      </c>
      <c r="K29" s="22" t="s">
        <v>134</v>
      </c>
    </row>
    <row r="30" spans="1:11" ht="33" customHeight="1">
      <c r="A30" s="16" t="s">
        <v>23</v>
      </c>
      <c r="B30" s="8">
        <v>9</v>
      </c>
      <c r="C30" s="17" t="s">
        <v>106</v>
      </c>
      <c r="D30" s="9" t="s">
        <v>79</v>
      </c>
      <c r="E30" s="4">
        <f>1+1/2+0</f>
        <v>1.5</v>
      </c>
      <c r="F30" s="4">
        <f>1+0.5+1+1.5+1.5+1+1</f>
        <v>7.5</v>
      </c>
      <c r="G30" s="4">
        <f>3+0.5+2</f>
        <v>5.5</v>
      </c>
      <c r="H30" s="4">
        <f>1+1+1+1+1+0+1</f>
        <v>6</v>
      </c>
      <c r="I30" s="4">
        <f>5+4+1+1</f>
        <v>11</v>
      </c>
      <c r="J30" s="21">
        <f t="shared" si="0"/>
        <v>31.5</v>
      </c>
      <c r="K30" s="22" t="s">
        <v>134</v>
      </c>
    </row>
    <row r="31" spans="1:11" ht="40" customHeight="1">
      <c r="A31" s="16" t="s">
        <v>54</v>
      </c>
      <c r="B31" s="8">
        <v>9</v>
      </c>
      <c r="C31" s="17" t="s">
        <v>101</v>
      </c>
      <c r="D31" s="9" t="s">
        <v>102</v>
      </c>
      <c r="E31" s="14">
        <f>1+1+1+1+0+0+0</f>
        <v>4</v>
      </c>
      <c r="F31" s="14">
        <f>1+1+1+2+2+1+2</f>
        <v>10</v>
      </c>
      <c r="G31" s="14">
        <f>2.5+2+2</f>
        <v>6.5</v>
      </c>
      <c r="H31" s="14">
        <f>0+0+0+0+0.5+0+0</f>
        <v>0.5</v>
      </c>
      <c r="I31" s="14">
        <f>4+4+1+1</f>
        <v>10</v>
      </c>
      <c r="J31" s="23">
        <f t="shared" si="0"/>
        <v>31</v>
      </c>
      <c r="K31" s="22" t="s">
        <v>134</v>
      </c>
    </row>
    <row r="32" spans="1:11" ht="47.5" customHeight="1">
      <c r="A32" s="16" t="s">
        <v>16</v>
      </c>
      <c r="B32" s="8">
        <v>9</v>
      </c>
      <c r="C32" s="17" t="s">
        <v>97</v>
      </c>
      <c r="D32" s="9" t="s">
        <v>98</v>
      </c>
      <c r="E32" s="4">
        <f>0+1/2+0+1+1+1+1</f>
        <v>4.5</v>
      </c>
      <c r="F32" s="4">
        <f>1+1+1+2+2+2+1</f>
        <v>10</v>
      </c>
      <c r="G32" s="4">
        <f>0</f>
        <v>0</v>
      </c>
      <c r="H32" s="4">
        <f>1+1+1+1+1+2+3</f>
        <v>10</v>
      </c>
      <c r="I32" s="4">
        <f>2+2+1+1</f>
        <v>6</v>
      </c>
      <c r="J32" s="21">
        <f t="shared" si="0"/>
        <v>30.5</v>
      </c>
      <c r="K32" s="22" t="s">
        <v>134</v>
      </c>
    </row>
    <row r="33" spans="1:11" ht="35.5" customHeight="1">
      <c r="A33" s="16" t="s">
        <v>73</v>
      </c>
      <c r="B33" s="8">
        <v>9</v>
      </c>
      <c r="C33" s="17" t="s">
        <v>74</v>
      </c>
      <c r="D33" s="9" t="s">
        <v>75</v>
      </c>
      <c r="E33" s="4">
        <f>0+1/2+1+0+1+1+1-1/2</f>
        <v>4</v>
      </c>
      <c r="F33" s="4">
        <f>1+0.5+1+0+2+2+1</f>
        <v>7.5</v>
      </c>
      <c r="G33" s="4">
        <f>2.5+1+2</f>
        <v>5.5</v>
      </c>
      <c r="H33" s="4">
        <f>1+1+0.5+0.5+1+0.5+0.5</f>
        <v>5</v>
      </c>
      <c r="I33" s="4">
        <f>5+1+1+1</f>
        <v>8</v>
      </c>
      <c r="J33" s="21">
        <f t="shared" si="0"/>
        <v>30</v>
      </c>
      <c r="K33" s="22"/>
    </row>
    <row r="34" spans="1:11" ht="36.5" customHeight="1">
      <c r="A34" s="16" t="s">
        <v>9</v>
      </c>
      <c r="B34" s="8">
        <v>9</v>
      </c>
      <c r="C34" s="17" t="s">
        <v>84</v>
      </c>
      <c r="D34" s="9" t="s">
        <v>85</v>
      </c>
      <c r="E34" s="4">
        <f>1+0+0+0+0+1+1</f>
        <v>3</v>
      </c>
      <c r="F34" s="4">
        <f>1+1+1+2+1.5+2+0.5</f>
        <v>9</v>
      </c>
      <c r="G34" s="4">
        <f>3+1+4</f>
        <v>8</v>
      </c>
      <c r="H34" s="4">
        <f>1+1+0+1+1</f>
        <v>4</v>
      </c>
      <c r="I34" s="4">
        <f>3+1+1+1</f>
        <v>6</v>
      </c>
      <c r="J34" s="21">
        <f t="shared" si="0"/>
        <v>30</v>
      </c>
      <c r="K34" s="22"/>
    </row>
    <row r="35" spans="1:11" ht="36" customHeight="1">
      <c r="A35" s="16" t="s">
        <v>57</v>
      </c>
      <c r="B35" s="8">
        <v>9</v>
      </c>
      <c r="C35" s="17" t="s">
        <v>128</v>
      </c>
      <c r="D35" s="9" t="s">
        <v>129</v>
      </c>
      <c r="E35" s="4">
        <f>1+1+2+1+1+1+1-1/2</f>
        <v>7.5</v>
      </c>
      <c r="F35" s="4">
        <f>1+0.5+1+0+0+1+1.5</f>
        <v>5</v>
      </c>
      <c r="G35" s="4">
        <f>3+0+0.5</f>
        <v>3.5</v>
      </c>
      <c r="H35" s="4">
        <f>1+1+1+1+1+0+0</f>
        <v>5</v>
      </c>
      <c r="I35" s="4">
        <f>3+4+1+1</f>
        <v>9</v>
      </c>
      <c r="J35" s="21">
        <f t="shared" si="0"/>
        <v>30</v>
      </c>
      <c r="K35" s="22"/>
    </row>
    <row r="36" spans="1:11" ht="33" customHeight="1">
      <c r="A36" s="16" t="s">
        <v>61</v>
      </c>
      <c r="B36" s="8">
        <v>9</v>
      </c>
      <c r="C36" s="17" t="s">
        <v>86</v>
      </c>
      <c r="D36" s="9" t="s">
        <v>72</v>
      </c>
      <c r="E36" s="4">
        <f>0+1/2+1+0+1/2+1+1-1/2</f>
        <v>3.5</v>
      </c>
      <c r="F36" s="4">
        <f>1+1+1+1+2+1+1</f>
        <v>8</v>
      </c>
      <c r="G36" s="4">
        <f>2.5+0.5+2</f>
        <v>5</v>
      </c>
      <c r="H36" s="4">
        <f>1+1+0+0+1+2+3</f>
        <v>8</v>
      </c>
      <c r="I36" s="4">
        <f>2+1+1+1</f>
        <v>5</v>
      </c>
      <c r="J36" s="21">
        <f t="shared" si="0"/>
        <v>29.5</v>
      </c>
      <c r="K36" s="22"/>
    </row>
    <row r="37" spans="1:11" ht="32" customHeight="1">
      <c r="A37" s="16" t="s">
        <v>10</v>
      </c>
      <c r="B37" s="8">
        <v>9</v>
      </c>
      <c r="C37" s="17" t="s">
        <v>93</v>
      </c>
      <c r="D37" s="9" t="s">
        <v>77</v>
      </c>
      <c r="E37" s="4">
        <f>0+1+0+1+1+1+1-1/2</f>
        <v>4.5</v>
      </c>
      <c r="F37" s="4">
        <f>1+0.5+1+2+1.5+2+0.5</f>
        <v>8.5</v>
      </c>
      <c r="G37" s="4">
        <f>2.5+3+2</f>
        <v>7.5</v>
      </c>
      <c r="H37" s="4">
        <f>1+1+0+0+0+0+0</f>
        <v>2</v>
      </c>
      <c r="I37" s="4">
        <f>2+3+1+1</f>
        <v>7</v>
      </c>
      <c r="J37" s="21">
        <f t="shared" si="0"/>
        <v>29.5</v>
      </c>
      <c r="K37" s="22"/>
    </row>
    <row r="38" spans="1:11" ht="40" customHeight="1">
      <c r="A38" s="16" t="s">
        <v>49</v>
      </c>
      <c r="B38" s="8">
        <v>9</v>
      </c>
      <c r="C38" s="17" t="s">
        <v>124</v>
      </c>
      <c r="D38" s="9" t="s">
        <v>125</v>
      </c>
      <c r="E38" s="4">
        <f>1+1+1+1+1+1+1-1/2</f>
        <v>6.5</v>
      </c>
      <c r="F38" s="4">
        <f>1+0.5+1+2+1+1+1.5</f>
        <v>8</v>
      </c>
      <c r="G38" s="4">
        <f>3+2+2</f>
        <v>7</v>
      </c>
      <c r="H38" s="4">
        <f>0.5+1+0+0+0.5+2+0</f>
        <v>4</v>
      </c>
      <c r="I38" s="4">
        <f>2+1+1+0</f>
        <v>4</v>
      </c>
      <c r="J38" s="21">
        <f t="shared" si="0"/>
        <v>29.5</v>
      </c>
      <c r="K38" s="22"/>
    </row>
    <row r="39" spans="1:11" ht="22.5" customHeight="1">
      <c r="A39" s="16" t="s">
        <v>31</v>
      </c>
      <c r="B39" s="8">
        <v>9</v>
      </c>
      <c r="C39" s="17" t="s">
        <v>87</v>
      </c>
      <c r="D39" s="9" t="s">
        <v>81</v>
      </c>
      <c r="E39" s="15">
        <f>0+0.5+1+1+0+1+0.5</f>
        <v>4</v>
      </c>
      <c r="F39" s="4">
        <f>1+1+1+2+2+1+1.5</f>
        <v>9.5</v>
      </c>
      <c r="G39" s="4">
        <f>3+1+0</f>
        <v>4</v>
      </c>
      <c r="H39" s="4">
        <f>0</f>
        <v>0</v>
      </c>
      <c r="I39" s="4">
        <f>4+4+2+1</f>
        <v>11</v>
      </c>
      <c r="J39" s="21">
        <f t="shared" ref="J39:J64" si="1">E39+F39+G39+H39+I39</f>
        <v>28.5</v>
      </c>
      <c r="K39" s="22"/>
    </row>
    <row r="40" spans="1:11" ht="22.5" customHeight="1">
      <c r="A40" s="16" t="s">
        <v>53</v>
      </c>
      <c r="B40" s="8">
        <v>9</v>
      </c>
      <c r="C40" s="17" t="s">
        <v>121</v>
      </c>
      <c r="D40" s="9" t="s">
        <v>122</v>
      </c>
      <c r="E40" s="4">
        <f>1+1+1+1+0+1+1</f>
        <v>6</v>
      </c>
      <c r="F40" s="4">
        <f>1+1+1+2+1.5+1+2</f>
        <v>9.5</v>
      </c>
      <c r="G40" s="4">
        <f>3+0.5+2</f>
        <v>5.5</v>
      </c>
      <c r="H40" s="4">
        <f>1+0.5+0+0+1+1+0</f>
        <v>3.5</v>
      </c>
      <c r="I40" s="4">
        <f>2+1+0+1</f>
        <v>4</v>
      </c>
      <c r="J40" s="21">
        <f t="shared" si="1"/>
        <v>28.5</v>
      </c>
      <c r="K40" s="22"/>
    </row>
    <row r="41" spans="1:11" ht="46" customHeight="1">
      <c r="A41" s="16" t="s">
        <v>48</v>
      </c>
      <c r="B41" s="8">
        <v>9</v>
      </c>
      <c r="C41" s="18" t="s">
        <v>138</v>
      </c>
      <c r="D41" s="9" t="s">
        <v>123</v>
      </c>
      <c r="E41" s="4">
        <f>0+0+1+0+1+1+1</f>
        <v>4</v>
      </c>
      <c r="F41" s="4">
        <f>1+0.5+1+1+1.5+1+1.5</f>
        <v>7.5</v>
      </c>
      <c r="G41" s="4">
        <f>2.5+0.5+2</f>
        <v>5</v>
      </c>
      <c r="H41" s="4">
        <f>1+1+0+0+0.5+2+3</f>
        <v>7.5</v>
      </c>
      <c r="I41" s="4">
        <f>2+0+1+1</f>
        <v>4</v>
      </c>
      <c r="J41" s="21">
        <f t="shared" si="1"/>
        <v>28</v>
      </c>
      <c r="K41" s="22"/>
    </row>
    <row r="42" spans="1:11" ht="34.5" customHeight="1">
      <c r="A42" s="16" t="s">
        <v>33</v>
      </c>
      <c r="B42" s="8">
        <v>9</v>
      </c>
      <c r="C42" s="17" t="s">
        <v>78</v>
      </c>
      <c r="D42" s="9" t="s">
        <v>79</v>
      </c>
      <c r="E42" s="4">
        <f>0+1+0+1/2+1/2+1+1</f>
        <v>4</v>
      </c>
      <c r="F42" s="4">
        <f>1+1+1+2+1.5+2+0.5</f>
        <v>9</v>
      </c>
      <c r="G42" s="4">
        <f>2+0.5+1</f>
        <v>3.5</v>
      </c>
      <c r="H42" s="4">
        <f>1+1+1+0.5+1+0+0</f>
        <v>4.5</v>
      </c>
      <c r="I42" s="4">
        <f>1+4+1+0</f>
        <v>6</v>
      </c>
      <c r="J42" s="21">
        <f t="shared" si="1"/>
        <v>27</v>
      </c>
      <c r="K42" s="22"/>
    </row>
    <row r="43" spans="1:11" ht="74.5" customHeight="1">
      <c r="A43" s="16" t="s">
        <v>26</v>
      </c>
      <c r="B43" s="8">
        <v>9</v>
      </c>
      <c r="C43" s="17" t="s">
        <v>109</v>
      </c>
      <c r="D43" s="9" t="s">
        <v>72</v>
      </c>
      <c r="E43" s="4">
        <f>0+1/2+1+0+1+0+0</f>
        <v>2.5</v>
      </c>
      <c r="F43" s="4">
        <f>0.5+1+1+2+1.5+1+2</f>
        <v>9</v>
      </c>
      <c r="G43" s="4">
        <f>3+2.5+2</f>
        <v>7.5</v>
      </c>
      <c r="H43" s="4">
        <f>1+1+1+0+0+0+0</f>
        <v>3</v>
      </c>
      <c r="I43" s="4">
        <f>2+2</f>
        <v>4</v>
      </c>
      <c r="J43" s="21">
        <f t="shared" si="1"/>
        <v>26</v>
      </c>
      <c r="K43" s="22"/>
    </row>
    <row r="44" spans="1:11" ht="46" customHeight="1">
      <c r="A44" s="16" t="s">
        <v>30</v>
      </c>
      <c r="B44" s="8">
        <v>9</v>
      </c>
      <c r="C44" s="17" t="s">
        <v>112</v>
      </c>
      <c r="D44" s="9" t="s">
        <v>83</v>
      </c>
      <c r="E44" s="4">
        <f>0+1/2+0+1+1+1+1-1/2</f>
        <v>4</v>
      </c>
      <c r="F44" s="4">
        <f>1+0.5+1+2+1.5+1+1.5</f>
        <v>8.5</v>
      </c>
      <c r="G44" s="4">
        <f>0</f>
        <v>0</v>
      </c>
      <c r="H44" s="4">
        <f>1+1+0+0+1+2+3</f>
        <v>8</v>
      </c>
      <c r="I44" s="4">
        <f>2+2+1+0</f>
        <v>5</v>
      </c>
      <c r="J44" s="21">
        <f t="shared" si="1"/>
        <v>25.5</v>
      </c>
      <c r="K44" s="22"/>
    </row>
    <row r="45" spans="1:11" ht="22.5" customHeight="1">
      <c r="A45" s="16" t="s">
        <v>42</v>
      </c>
      <c r="B45" s="8">
        <v>9</v>
      </c>
      <c r="C45" s="17" t="s">
        <v>118</v>
      </c>
      <c r="D45" s="9" t="s">
        <v>81</v>
      </c>
      <c r="E45" s="4">
        <f>0+1/2+0+0+1+1+1/2-1/2</f>
        <v>2.5</v>
      </c>
      <c r="F45" s="4">
        <f>1+1+0+1+2+1+1.5</f>
        <v>7.5</v>
      </c>
      <c r="G45" s="4">
        <f>1.5+1+2</f>
        <v>4.5</v>
      </c>
      <c r="H45" s="4">
        <f>1+0.5+0+0+1+0.5+3</f>
        <v>6</v>
      </c>
      <c r="I45" s="4">
        <f>1+2+1+1</f>
        <v>5</v>
      </c>
      <c r="J45" s="21">
        <f t="shared" si="1"/>
        <v>25.5</v>
      </c>
      <c r="K45" s="22"/>
    </row>
    <row r="46" spans="1:11" ht="60.5" customHeight="1">
      <c r="A46" s="16" t="s">
        <v>24</v>
      </c>
      <c r="B46" s="8">
        <v>9</v>
      </c>
      <c r="C46" s="17" t="s">
        <v>107</v>
      </c>
      <c r="D46" s="9" t="s">
        <v>83</v>
      </c>
      <c r="E46" s="4">
        <f>0+1/2+0+1+0+1+1</f>
        <v>3.5</v>
      </c>
      <c r="F46" s="4">
        <f>1+1+1+2+2+1+2</f>
        <v>10</v>
      </c>
      <c r="G46" s="4">
        <f>2+0.5+2</f>
        <v>4.5</v>
      </c>
      <c r="H46" s="4">
        <f>1+1+0+0+0+0+0</f>
        <v>2</v>
      </c>
      <c r="I46" s="4">
        <f>2+1+1+1</f>
        <v>5</v>
      </c>
      <c r="J46" s="21">
        <f t="shared" si="1"/>
        <v>25</v>
      </c>
      <c r="K46" s="22"/>
    </row>
    <row r="47" spans="1:11" ht="37" customHeight="1">
      <c r="A47" s="16" t="s">
        <v>29</v>
      </c>
      <c r="B47" s="8">
        <v>9</v>
      </c>
      <c r="C47" s="17" t="s">
        <v>76</v>
      </c>
      <c r="D47" s="9" t="s">
        <v>77</v>
      </c>
      <c r="E47" s="4">
        <f>0+1/2+2+1+1+1+1-1/2</f>
        <v>6</v>
      </c>
      <c r="F47" s="4">
        <f>1+0.5+1+2+1.5+1+1.5</f>
        <v>8.5</v>
      </c>
      <c r="G47" s="4">
        <f>2.5+0.5+0.5</f>
        <v>3.5</v>
      </c>
      <c r="H47" s="4">
        <f>0.5+0.5+1+0+0+0+0</f>
        <v>2</v>
      </c>
      <c r="I47" s="4">
        <f>4+0+1+0</f>
        <v>5</v>
      </c>
      <c r="J47" s="21">
        <f t="shared" si="1"/>
        <v>25</v>
      </c>
      <c r="K47" s="22"/>
    </row>
    <row r="48" spans="1:11" ht="34.5" customHeight="1">
      <c r="A48" s="16" t="s">
        <v>41</v>
      </c>
      <c r="B48" s="8">
        <v>9</v>
      </c>
      <c r="C48" s="17" t="s">
        <v>117</v>
      </c>
      <c r="D48" s="9" t="s">
        <v>92</v>
      </c>
      <c r="E48" s="4">
        <f>0+1+0+1+1+1+1</f>
        <v>5</v>
      </c>
      <c r="F48" s="4">
        <f>1+1+1+2+1.5+1+1.5</f>
        <v>9</v>
      </c>
      <c r="G48" s="4">
        <f>1+0.5+2</f>
        <v>3.5</v>
      </c>
      <c r="H48" s="4">
        <f>1+1+0+0+0+0+0</f>
        <v>2</v>
      </c>
      <c r="I48" s="4">
        <f>3+1</f>
        <v>4</v>
      </c>
      <c r="J48" s="21">
        <f t="shared" si="1"/>
        <v>23.5</v>
      </c>
      <c r="K48" s="22"/>
    </row>
    <row r="49" spans="1:11" ht="34.5" customHeight="1">
      <c r="A49" s="16" t="s">
        <v>51</v>
      </c>
      <c r="B49" s="8">
        <v>9</v>
      </c>
      <c r="C49" s="17" t="s">
        <v>80</v>
      </c>
      <c r="D49" s="9" t="s">
        <v>81</v>
      </c>
      <c r="E49" s="4">
        <f>0+1/2+1+0+0+0+0</f>
        <v>1.5</v>
      </c>
      <c r="F49" s="4">
        <f>1+1+1+2+2+1+1.5</f>
        <v>9.5</v>
      </c>
      <c r="G49" s="4">
        <f>0.5+0+0</f>
        <v>0.5</v>
      </c>
      <c r="H49" s="4">
        <f>1+0.5+0+0+1+0+0</f>
        <v>2.5</v>
      </c>
      <c r="I49" s="4">
        <f>2+5+0+1</f>
        <v>8</v>
      </c>
      <c r="J49" s="21">
        <f t="shared" si="1"/>
        <v>22</v>
      </c>
      <c r="K49" s="22"/>
    </row>
    <row r="50" spans="1:11" ht="22.5" customHeight="1">
      <c r="A50" s="16" t="s">
        <v>15</v>
      </c>
      <c r="B50" s="8">
        <v>9</v>
      </c>
      <c r="C50" s="17" t="s">
        <v>95</v>
      </c>
      <c r="D50" s="9" t="s">
        <v>96</v>
      </c>
      <c r="E50" s="4">
        <f>0+1/2+0+1+1+0+1+1</f>
        <v>4.5</v>
      </c>
      <c r="F50" s="4">
        <f>1+1+1+1+1+1+0.5</f>
        <v>6.5</v>
      </c>
      <c r="G50" s="4">
        <f>2.5+0+0</f>
        <v>2.5</v>
      </c>
      <c r="H50" s="4">
        <f>1+1+0+0+0+0+0</f>
        <v>2</v>
      </c>
      <c r="I50" s="4">
        <f>2+2+1+1</f>
        <v>6</v>
      </c>
      <c r="J50" s="21">
        <f t="shared" si="1"/>
        <v>21.5</v>
      </c>
      <c r="K50" s="22"/>
    </row>
    <row r="51" spans="1:11" ht="22.5" customHeight="1">
      <c r="A51" s="16" t="s">
        <v>19</v>
      </c>
      <c r="B51" s="8">
        <v>9</v>
      </c>
      <c r="C51" s="17" t="s">
        <v>103</v>
      </c>
      <c r="D51" s="9" t="s">
        <v>75</v>
      </c>
      <c r="E51" s="4">
        <f>0+1/2+0+0+1+1+1</f>
        <v>3.5</v>
      </c>
      <c r="F51" s="4">
        <f>0.5+0+1+2+1+1+0.5</f>
        <v>6</v>
      </c>
      <c r="G51" s="4">
        <f>0.5+0.5+0</f>
        <v>1</v>
      </c>
      <c r="H51" s="4">
        <f>1+1+0+0+0+0+0+0</f>
        <v>2</v>
      </c>
      <c r="I51" s="4">
        <f>3+4+1+1</f>
        <v>9</v>
      </c>
      <c r="J51" s="21">
        <f t="shared" si="1"/>
        <v>21.5</v>
      </c>
      <c r="K51" s="22"/>
    </row>
    <row r="52" spans="1:11" ht="22.5" customHeight="1">
      <c r="A52" s="16" t="s">
        <v>36</v>
      </c>
      <c r="B52" s="8">
        <v>9</v>
      </c>
      <c r="C52" s="17" t="s">
        <v>114</v>
      </c>
      <c r="D52" s="9" t="s">
        <v>72</v>
      </c>
      <c r="E52" s="4">
        <f>0+1/2+0+0+1+1+1-1/2</f>
        <v>3</v>
      </c>
      <c r="F52" s="4">
        <f>1+0.5+1+2+1.5+1+1.5</f>
        <v>8.5</v>
      </c>
      <c r="G52" s="4">
        <f>1.5+1+0</f>
        <v>2.5</v>
      </c>
      <c r="H52" s="4">
        <f>1+1+0+0.5+0+2+3</f>
        <v>7.5</v>
      </c>
      <c r="I52" s="4">
        <v>0</v>
      </c>
      <c r="J52" s="21">
        <f t="shared" si="1"/>
        <v>21.5</v>
      </c>
      <c r="K52" s="22"/>
    </row>
    <row r="53" spans="1:11" ht="37.5" customHeight="1">
      <c r="A53" s="16" t="s">
        <v>20</v>
      </c>
      <c r="B53" s="8">
        <v>9</v>
      </c>
      <c r="C53" s="17" t="s">
        <v>101</v>
      </c>
      <c r="D53" s="9" t="s">
        <v>102</v>
      </c>
      <c r="E53" s="4">
        <f>0+1/2+0+0+0+1+1/2</f>
        <v>2</v>
      </c>
      <c r="F53" s="4">
        <f>0.5+0.5+1+1+1+1+0.5</f>
        <v>5.5</v>
      </c>
      <c r="G53" s="4">
        <f>0+0+2</f>
        <v>2</v>
      </c>
      <c r="H53" s="4">
        <f>1+1+0+0+0+0+0</f>
        <v>2</v>
      </c>
      <c r="I53" s="4">
        <f>3+4+1+1</f>
        <v>9</v>
      </c>
      <c r="J53" s="21">
        <f t="shared" si="1"/>
        <v>20.5</v>
      </c>
      <c r="K53" s="22"/>
    </row>
    <row r="54" spans="1:11" ht="39" customHeight="1">
      <c r="A54" s="16" t="s">
        <v>37</v>
      </c>
      <c r="B54" s="8">
        <v>9</v>
      </c>
      <c r="C54" s="17" t="s">
        <v>115</v>
      </c>
      <c r="D54" s="9" t="s">
        <v>77</v>
      </c>
      <c r="E54" s="4">
        <f>1+1/2+0</f>
        <v>1.5</v>
      </c>
      <c r="F54" s="4">
        <f>1+0.5+1+2+1.5+0.5+1.5</f>
        <v>8</v>
      </c>
      <c r="G54" s="4">
        <f>0</f>
        <v>0</v>
      </c>
      <c r="H54" s="4">
        <f>1+0.5+0+0+0+0+0</f>
        <v>1.5</v>
      </c>
      <c r="I54" s="4">
        <f>3+4+1+0</f>
        <v>8</v>
      </c>
      <c r="J54" s="21">
        <f t="shared" si="1"/>
        <v>19</v>
      </c>
      <c r="K54" s="22"/>
    </row>
    <row r="55" spans="1:11" ht="42" customHeight="1">
      <c r="A55" s="16" t="s">
        <v>32</v>
      </c>
      <c r="B55" s="8">
        <v>9</v>
      </c>
      <c r="C55" s="17" t="s">
        <v>113</v>
      </c>
      <c r="D55" s="9" t="s">
        <v>75</v>
      </c>
      <c r="E55" s="4">
        <f>1+1+2+2+1+1+1-1/2</f>
        <v>8.5</v>
      </c>
      <c r="F55" s="4">
        <f>0</f>
        <v>0</v>
      </c>
      <c r="G55" s="4">
        <f>0</f>
        <v>0</v>
      </c>
      <c r="H55" s="4">
        <f>1+1+1+1+1+2+3</f>
        <v>10</v>
      </c>
      <c r="I55" s="4">
        <v>0</v>
      </c>
      <c r="J55" s="21">
        <f t="shared" si="1"/>
        <v>18.5</v>
      </c>
      <c r="K55" s="22"/>
    </row>
    <row r="56" spans="1:11" ht="22.5" customHeight="1">
      <c r="A56" s="16" t="s">
        <v>47</v>
      </c>
      <c r="B56" s="8">
        <v>9</v>
      </c>
      <c r="C56" s="17" t="s">
        <v>121</v>
      </c>
      <c r="D56" s="9" t="s">
        <v>122</v>
      </c>
      <c r="E56" s="4">
        <f>0+0+0+1+0+1+1-1/2</f>
        <v>2.5</v>
      </c>
      <c r="F56" s="4">
        <f>0+0+1+1+1+0+0.5</f>
        <v>3.5</v>
      </c>
      <c r="G56" s="4">
        <f>3+1+2</f>
        <v>6</v>
      </c>
      <c r="H56" s="4">
        <f>1+1+0+0+0.5+0+0</f>
        <v>2.5</v>
      </c>
      <c r="I56" s="4">
        <f>3+0+1+0</f>
        <v>4</v>
      </c>
      <c r="J56" s="21">
        <f t="shared" si="1"/>
        <v>18.5</v>
      </c>
      <c r="K56" s="22"/>
    </row>
    <row r="57" spans="1:11" ht="36.5" customHeight="1">
      <c r="A57" s="16" t="s">
        <v>22</v>
      </c>
      <c r="B57" s="8">
        <v>9</v>
      </c>
      <c r="C57" s="17" t="s">
        <v>105</v>
      </c>
      <c r="D57" s="9" t="s">
        <v>96</v>
      </c>
      <c r="E57" s="4">
        <f>0+1/2+0+0+1/2+1+1</f>
        <v>3</v>
      </c>
      <c r="F57" s="4">
        <f>1+0.5+1+1+1+2+0.5</f>
        <v>7</v>
      </c>
      <c r="G57" s="4">
        <f>0+0.5+0</f>
        <v>0.5</v>
      </c>
      <c r="H57" s="4">
        <f>1+1+0+0+0+0+0</f>
        <v>2</v>
      </c>
      <c r="I57" s="4">
        <f>2+1+1+1</f>
        <v>5</v>
      </c>
      <c r="J57" s="21">
        <f t="shared" si="1"/>
        <v>17.5</v>
      </c>
      <c r="K57" s="22"/>
    </row>
    <row r="58" spans="1:11" ht="44" customHeight="1">
      <c r="A58" s="16" t="s">
        <v>43</v>
      </c>
      <c r="B58" s="8">
        <v>9</v>
      </c>
      <c r="C58" s="17" t="s">
        <v>101</v>
      </c>
      <c r="D58" s="9" t="s">
        <v>102</v>
      </c>
      <c r="E58" s="4">
        <v>0</v>
      </c>
      <c r="F58" s="4">
        <f>0+0+1+1+1+1+1.5</f>
        <v>5.5</v>
      </c>
      <c r="G58" s="4">
        <f>1+0.5+0.5</f>
        <v>2</v>
      </c>
      <c r="H58" s="4">
        <f>1+0.5+0+0+0+0+0</f>
        <v>1.5</v>
      </c>
      <c r="I58" s="4">
        <f>2+1+1+1</f>
        <v>5</v>
      </c>
      <c r="J58" s="21">
        <f t="shared" si="1"/>
        <v>14</v>
      </c>
      <c r="K58" s="22"/>
    </row>
    <row r="59" spans="1:11" ht="35" customHeight="1">
      <c r="A59" s="16" t="s">
        <v>56</v>
      </c>
      <c r="B59" s="8">
        <v>9</v>
      </c>
      <c r="C59" s="18" t="s">
        <v>137</v>
      </c>
      <c r="D59" s="9" t="s">
        <v>83</v>
      </c>
      <c r="E59" s="4">
        <f>0+0+1+0+0+0+1+1</f>
        <v>3</v>
      </c>
      <c r="F59" s="4">
        <f>1+0+1+1+1+1+0</f>
        <v>5</v>
      </c>
      <c r="G59" s="4">
        <f>0+0.5+0</f>
        <v>0.5</v>
      </c>
      <c r="H59" s="4">
        <f>0.5+0.5+0+0+0+0+0</f>
        <v>1</v>
      </c>
      <c r="I59" s="4">
        <v>1</v>
      </c>
      <c r="J59" s="21">
        <f t="shared" si="1"/>
        <v>10.5</v>
      </c>
      <c r="K59" s="22"/>
    </row>
    <row r="60" spans="1:11" ht="22.5" customHeight="1">
      <c r="A60" s="16" t="s">
        <v>44</v>
      </c>
      <c r="B60" s="4">
        <v>9</v>
      </c>
      <c r="C60" s="19" t="s">
        <v>80</v>
      </c>
      <c r="D60" s="10" t="s">
        <v>81</v>
      </c>
      <c r="E60" s="4">
        <f>1+1+0+0+0+1+1/2-1/2</f>
        <v>3</v>
      </c>
      <c r="F60" s="4">
        <f>1+0.5+1+1+0.5+2+0</f>
        <v>6</v>
      </c>
      <c r="G60" s="4">
        <f>0</f>
        <v>0</v>
      </c>
      <c r="H60" s="4">
        <f>0</f>
        <v>0</v>
      </c>
      <c r="I60" s="4">
        <v>0</v>
      </c>
      <c r="J60" s="21">
        <f t="shared" si="1"/>
        <v>9</v>
      </c>
      <c r="K60" s="22"/>
    </row>
    <row r="61" spans="1:11" ht="38" customHeight="1">
      <c r="A61" s="16" t="s">
        <v>18</v>
      </c>
      <c r="B61" s="8">
        <v>9</v>
      </c>
      <c r="C61" s="17" t="s">
        <v>101</v>
      </c>
      <c r="D61" s="9" t="s">
        <v>102</v>
      </c>
      <c r="E61" s="4">
        <f>0+1+1</f>
        <v>2</v>
      </c>
      <c r="F61" s="4">
        <f>0</f>
        <v>0</v>
      </c>
      <c r="G61" s="4">
        <f>1+1+0.5</f>
        <v>2.5</v>
      </c>
      <c r="H61" s="4">
        <f>0+0+0+0+0+0+0</f>
        <v>0</v>
      </c>
      <c r="I61" s="4">
        <f>2+1+1</f>
        <v>4</v>
      </c>
      <c r="J61" s="21">
        <f t="shared" si="1"/>
        <v>8.5</v>
      </c>
      <c r="K61" s="22"/>
    </row>
    <row r="62" spans="1:11" ht="35" customHeight="1">
      <c r="A62" s="16" t="s">
        <v>4</v>
      </c>
      <c r="B62" s="8">
        <v>9</v>
      </c>
      <c r="C62" s="17" t="s">
        <v>89</v>
      </c>
      <c r="D62" s="9" t="s">
        <v>77</v>
      </c>
      <c r="E62" s="4">
        <f>1+1+0</f>
        <v>2</v>
      </c>
      <c r="F62" s="4">
        <f>0</f>
        <v>0</v>
      </c>
      <c r="G62" s="4">
        <f>0</f>
        <v>0</v>
      </c>
      <c r="H62" s="4">
        <f>0</f>
        <v>0</v>
      </c>
      <c r="I62" s="4">
        <f>2+2+1</f>
        <v>5</v>
      </c>
      <c r="J62" s="21">
        <f t="shared" si="1"/>
        <v>7</v>
      </c>
      <c r="K62" s="22"/>
    </row>
    <row r="63" spans="1:11" ht="38.5" customHeight="1">
      <c r="A63" s="16" t="s">
        <v>52</v>
      </c>
      <c r="B63" s="4">
        <v>9</v>
      </c>
      <c r="C63" s="19" t="s">
        <v>101</v>
      </c>
      <c r="D63" s="10" t="s">
        <v>102</v>
      </c>
      <c r="E63" s="4">
        <v>0</v>
      </c>
      <c r="F63" s="4">
        <f>0</f>
        <v>0</v>
      </c>
      <c r="G63" s="4">
        <f>0</f>
        <v>0</v>
      </c>
      <c r="H63" s="4">
        <f>0</f>
        <v>0</v>
      </c>
      <c r="I63" s="4">
        <f>2+2+1+1</f>
        <v>6</v>
      </c>
      <c r="J63" s="21">
        <f t="shared" si="1"/>
        <v>6</v>
      </c>
      <c r="K63" s="22"/>
    </row>
    <row r="64" spans="1:11" ht="33.5" customHeight="1">
      <c r="A64" s="16" t="s">
        <v>14</v>
      </c>
      <c r="B64" s="8">
        <v>9</v>
      </c>
      <c r="C64" s="17" t="s">
        <v>94</v>
      </c>
      <c r="D64" s="9" t="s">
        <v>81</v>
      </c>
      <c r="E64" s="4">
        <f>1+0</f>
        <v>1</v>
      </c>
      <c r="F64" s="4">
        <f>0</f>
        <v>0</v>
      </c>
      <c r="G64" s="4">
        <f>0+0.5+0</f>
        <v>0.5</v>
      </c>
      <c r="H64" s="4">
        <f>0</f>
        <v>0</v>
      </c>
      <c r="I64" s="4">
        <v>0</v>
      </c>
      <c r="J64" s="21">
        <f t="shared" si="1"/>
        <v>1.5</v>
      </c>
      <c r="K64" s="22"/>
    </row>
    <row r="65" spans="1:11" ht="22.5" customHeight="1">
      <c r="A65" s="1"/>
      <c r="B65" s="1"/>
      <c r="C65" s="1"/>
      <c r="D65" s="1"/>
      <c r="E65" s="7"/>
      <c r="F65" s="7"/>
      <c r="G65" s="7"/>
      <c r="H65" s="7"/>
      <c r="I65" s="7"/>
      <c r="J65" s="7"/>
      <c r="K65" s="5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Ответы на форму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Неля Михайловна</dc:creator>
  <cp:lastModifiedBy>Lenovo</cp:lastModifiedBy>
  <dcterms:created xsi:type="dcterms:W3CDTF">2026-01-23T00:01:47Z</dcterms:created>
  <dcterms:modified xsi:type="dcterms:W3CDTF">2026-01-27T11:11:52Z</dcterms:modified>
</cp:coreProperties>
</file>